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Desktop\NOVIEMBRE\"/>
    </mc:Choice>
  </mc:AlternateContent>
  <bookViews>
    <workbookView xWindow="-105" yWindow="-105" windowWidth="23250" windowHeight="12570" firstSheet="1" activeTab="4"/>
  </bookViews>
  <sheets>
    <sheet name="PERSONAL FIJO 112022" sheetId="3" r:id="rId1"/>
    <sheet name="EMPLEADOS TEMPORALES 102022" sheetId="1" r:id="rId2"/>
    <sheet name="PERIODO PROBATORIO 112022" sheetId="2" r:id="rId3"/>
    <sheet name="TRAMITE DE PENSION 112022 " sheetId="5" r:id="rId4"/>
    <sheet name="COMPENSACIÓN 112022" sheetId="4" r:id="rId5"/>
  </sheets>
  <definedNames>
    <definedName name="_xlnm.Print_Titles" localSheetId="1">'EMPLEADOS TEMPORALES 102022'!$1:$7</definedName>
    <definedName name="_xlnm.Print_Titles" localSheetId="0">'PERSONAL FIJO 112022'!$1:$7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5" i="3" l="1"/>
  <c r="L135" i="3" s="1"/>
  <c r="L32" i="1"/>
  <c r="M32" i="1" s="1"/>
  <c r="L81" i="1"/>
  <c r="M81" i="1" s="1"/>
  <c r="L107" i="1"/>
  <c r="M107" i="1" s="1"/>
  <c r="L101" i="1"/>
  <c r="M101" i="1" s="1"/>
  <c r="L117" i="1"/>
  <c r="M117" i="1" s="1"/>
  <c r="L131" i="1"/>
  <c r="M131" i="1" s="1"/>
  <c r="L63" i="1"/>
  <c r="M63" i="1" s="1"/>
  <c r="L61" i="1"/>
  <c r="M61" i="1" s="1"/>
  <c r="L49" i="1"/>
  <c r="M49" i="1" s="1"/>
  <c r="L24" i="1"/>
  <c r="M24" i="1" s="1"/>
  <c r="L21" i="1"/>
  <c r="M21" i="1" s="1"/>
  <c r="L23" i="1"/>
  <c r="M23" i="1" s="1"/>
  <c r="K126" i="3"/>
  <c r="L126" i="3" s="1"/>
  <c r="K138" i="3"/>
  <c r="L138" i="3" s="1"/>
  <c r="K137" i="3"/>
  <c r="L137" i="3" s="1"/>
  <c r="K136" i="3"/>
  <c r="L136" i="3" s="1"/>
  <c r="L125" i="3"/>
  <c r="K119" i="3"/>
  <c r="L119" i="3" s="1"/>
  <c r="L73" i="3" l="1"/>
  <c r="L67" i="3"/>
  <c r="K56" i="3"/>
  <c r="L56" i="3" s="1"/>
  <c r="K38" i="3" l="1"/>
  <c r="L38" i="3" s="1"/>
  <c r="K29" i="3"/>
  <c r="L29" i="3" s="1"/>
  <c r="K28" i="3"/>
  <c r="L28" i="3" s="1"/>
  <c r="K27" i="3"/>
  <c r="L27" i="3" s="1"/>
  <c r="K26" i="3"/>
  <c r="L26" i="3" s="1"/>
  <c r="K93" i="3" l="1"/>
  <c r="L93" i="3" s="1"/>
  <c r="K22" i="3"/>
  <c r="L22" i="3" s="1"/>
  <c r="J10" i="3"/>
  <c r="K10" i="3" s="1"/>
  <c r="L10" i="3" s="1"/>
  <c r="K122" i="3"/>
  <c r="L122" i="3" s="1"/>
  <c r="L27" i="1" l="1"/>
  <c r="M27" i="1" s="1"/>
  <c r="K144" i="3"/>
  <c r="L144" i="3" s="1"/>
  <c r="K117" i="3"/>
  <c r="L117" i="3" s="1"/>
  <c r="K115" i="3"/>
  <c r="L115" i="3" s="1"/>
  <c r="K114" i="3"/>
  <c r="L114" i="3" s="1"/>
  <c r="K113" i="3"/>
  <c r="L113" i="3" s="1"/>
  <c r="K111" i="3"/>
  <c r="L111" i="3" s="1"/>
  <c r="K109" i="3"/>
  <c r="L109" i="3" s="1"/>
  <c r="K108" i="3"/>
  <c r="L108" i="3" s="1"/>
  <c r="K101" i="3"/>
  <c r="L101" i="3" s="1"/>
  <c r="K80" i="3"/>
  <c r="L80" i="3" s="1"/>
  <c r="K86" i="3"/>
  <c r="L86" i="3" s="1"/>
  <c r="K15" i="3"/>
  <c r="L15" i="3" s="1"/>
  <c r="K11" i="3"/>
  <c r="L11" i="3" s="1"/>
  <c r="K99" i="3"/>
  <c r="L99" i="3" s="1"/>
  <c r="K100" i="3"/>
  <c r="L100" i="3" s="1"/>
  <c r="L115" i="1"/>
  <c r="M115" i="1" s="1"/>
  <c r="L113" i="1"/>
  <c r="M113" i="1" s="1"/>
  <c r="L85" i="1"/>
  <c r="M85" i="1" s="1"/>
  <c r="L79" i="1"/>
  <c r="L74" i="1"/>
  <c r="M74" i="1" s="1"/>
  <c r="L62" i="1"/>
  <c r="M62" i="1" s="1"/>
  <c r="L57" i="1"/>
  <c r="M57" i="1" s="1"/>
  <c r="L20" i="1"/>
  <c r="L12" i="1"/>
  <c r="L11" i="1"/>
  <c r="L10" i="1"/>
  <c r="L8" i="1"/>
  <c r="L138" i="1"/>
  <c r="L25" i="1"/>
  <c r="M25" i="1" s="1"/>
  <c r="K133" i="3"/>
  <c r="L133" i="3" s="1"/>
  <c r="K118" i="3"/>
  <c r="L118" i="3" s="1"/>
  <c r="K34" i="3"/>
  <c r="L34" i="3" s="1"/>
  <c r="K32" i="3"/>
  <c r="L32" i="3" s="1"/>
  <c r="K17" i="3"/>
  <c r="L17" i="3" s="1"/>
  <c r="K39" i="3"/>
  <c r="L39" i="3" s="1"/>
  <c r="I72" i="3"/>
  <c r="H72" i="3"/>
  <c r="K33" i="3"/>
  <c r="L33" i="3" s="1"/>
  <c r="I37" i="3"/>
  <c r="H37" i="3"/>
  <c r="K90" i="3"/>
  <c r="L90" i="3" s="1"/>
  <c r="L141" i="1"/>
  <c r="M141" i="1" s="1"/>
  <c r="L136" i="1"/>
  <c r="M136" i="1" s="1"/>
  <c r="L127" i="1"/>
  <c r="M127" i="1" s="1"/>
  <c r="L124" i="1"/>
  <c r="M124" i="1" s="1"/>
  <c r="L105" i="1"/>
  <c r="M105" i="1" s="1"/>
  <c r="L83" i="1"/>
  <c r="M83" i="1" s="1"/>
  <c r="L76" i="1"/>
  <c r="M76" i="1" s="1"/>
  <c r="L56" i="1"/>
  <c r="M56" i="1" s="1"/>
  <c r="L51" i="1"/>
  <c r="M51" i="1" s="1"/>
  <c r="L44" i="1"/>
  <c r="M44" i="1" s="1"/>
  <c r="L37" i="1"/>
  <c r="M37" i="1" s="1"/>
  <c r="L80" i="1"/>
  <c r="M80" i="1" s="1"/>
  <c r="K37" i="3" l="1"/>
  <c r="L37" i="3" s="1"/>
  <c r="K72" i="3"/>
  <c r="L72" i="3" s="1"/>
  <c r="J102" i="1"/>
  <c r="I102" i="1"/>
  <c r="H102" i="1"/>
  <c r="J129" i="1"/>
  <c r="I129" i="1"/>
  <c r="J30" i="1"/>
  <c r="I30" i="1"/>
  <c r="K139" i="3"/>
  <c r="L139" i="3" s="1"/>
  <c r="K134" i="3"/>
  <c r="L134" i="3" s="1"/>
  <c r="K130" i="3"/>
  <c r="L130" i="3" s="1"/>
  <c r="K129" i="3"/>
  <c r="L129" i="3" s="1"/>
  <c r="K131" i="3"/>
  <c r="L131" i="3" s="1"/>
  <c r="K124" i="3"/>
  <c r="L124" i="3" s="1"/>
  <c r="K120" i="3"/>
  <c r="L120" i="3" s="1"/>
  <c r="K116" i="3"/>
  <c r="L116" i="3" s="1"/>
  <c r="K107" i="3"/>
  <c r="L107" i="3" s="1"/>
  <c r="K95" i="3"/>
  <c r="L95" i="3" s="1"/>
  <c r="K94" i="3"/>
  <c r="L94" i="3" s="1"/>
  <c r="L84" i="3"/>
  <c r="K79" i="3"/>
  <c r="L79" i="3" s="1"/>
  <c r="K76" i="3"/>
  <c r="L76" i="3" s="1"/>
  <c r="K66" i="3"/>
  <c r="L66" i="3" s="1"/>
  <c r="K52" i="3"/>
  <c r="L52" i="3" s="1"/>
  <c r="L49" i="3"/>
  <c r="L48" i="3"/>
  <c r="K46" i="3"/>
  <c r="L46" i="3" s="1"/>
  <c r="K42" i="3"/>
  <c r="L42" i="3" s="1"/>
  <c r="K36" i="3"/>
  <c r="L36" i="3" s="1"/>
  <c r="K35" i="3"/>
  <c r="L35" i="3" s="1"/>
  <c r="K31" i="3"/>
  <c r="L31" i="3" s="1"/>
  <c r="K30" i="3"/>
  <c r="L30" i="3" s="1"/>
  <c r="K25" i="3"/>
  <c r="L25" i="3" s="1"/>
  <c r="L45" i="1"/>
  <c r="M45" i="1" s="1"/>
  <c r="L17" i="1"/>
  <c r="L16" i="1"/>
  <c r="L110" i="1"/>
  <c r="M110" i="1" s="1"/>
  <c r="L109" i="1"/>
  <c r="M109" i="1" s="1"/>
  <c r="K19" i="3"/>
  <c r="L19" i="3" s="1"/>
  <c r="K21" i="3"/>
  <c r="L21" i="3" s="1"/>
  <c r="K20" i="3"/>
  <c r="L20" i="3" s="1"/>
  <c r="K18" i="3"/>
  <c r="L18" i="3" s="1"/>
  <c r="M138" i="1"/>
  <c r="L126" i="1"/>
  <c r="M126" i="1" s="1"/>
  <c r="L125" i="1"/>
  <c r="M125" i="1" s="1"/>
  <c r="L116" i="1"/>
  <c r="M116" i="1" s="1"/>
  <c r="L114" i="1"/>
  <c r="M114" i="1" s="1"/>
  <c r="L112" i="1"/>
  <c r="M112" i="1" s="1"/>
  <c r="L111" i="1"/>
  <c r="M111" i="1" s="1"/>
  <c r="L108" i="1"/>
  <c r="M108" i="1" s="1"/>
  <c r="L106" i="1"/>
  <c r="M106" i="1" s="1"/>
  <c r="L104" i="1"/>
  <c r="M104" i="1" s="1"/>
  <c r="L100" i="1"/>
  <c r="M100" i="1" s="1"/>
  <c r="L96" i="1"/>
  <c r="M96" i="1" s="1"/>
  <c r="L99" i="1"/>
  <c r="M99" i="1" s="1"/>
  <c r="L92" i="1"/>
  <c r="M92" i="1" s="1"/>
  <c r="L82" i="1"/>
  <c r="M82" i="1" s="1"/>
  <c r="M79" i="1"/>
  <c r="M78" i="1"/>
  <c r="L77" i="1"/>
  <c r="M77" i="1" s="1"/>
  <c r="L75" i="1"/>
  <c r="M75" i="1" s="1"/>
  <c r="L64" i="1"/>
  <c r="M64" i="1" s="1"/>
  <c r="L60" i="1"/>
  <c r="M60" i="1" s="1"/>
  <c r="I142" i="1" l="1"/>
  <c r="L129" i="1"/>
  <c r="M129" i="1" s="1"/>
  <c r="L50" i="1"/>
  <c r="M50" i="1" s="1"/>
  <c r="L43" i="1"/>
  <c r="M43" i="1" s="1"/>
  <c r="L42" i="1"/>
  <c r="M42" i="1" s="1"/>
  <c r="L33" i="1"/>
  <c r="M33" i="1" s="1"/>
  <c r="L22" i="1"/>
  <c r="M22" i="1" s="1"/>
  <c r="L9" i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9" i="5"/>
  <c r="I10" i="5" s="1"/>
  <c r="H9" i="5"/>
  <c r="H10" i="5" s="1"/>
  <c r="K9" i="5" l="1"/>
  <c r="K10" i="5" s="1"/>
  <c r="F27" i="4"/>
  <c r="E27" i="4"/>
  <c r="N146" i="3"/>
  <c r="L146" i="3"/>
  <c r="K146" i="3"/>
  <c r="J146" i="3"/>
  <c r="I146" i="3"/>
  <c r="H146" i="3"/>
  <c r="G146" i="3"/>
  <c r="F146" i="3"/>
  <c r="L9" i="5" l="1"/>
  <c r="L10" i="5" s="1"/>
  <c r="H10" i="2"/>
  <c r="K10" i="2"/>
  <c r="G10" i="2"/>
  <c r="J10" i="2"/>
  <c r="O142" i="1"/>
  <c r="M142" i="1"/>
  <c r="L142" i="1"/>
  <c r="K142" i="1"/>
  <c r="J142" i="1"/>
  <c r="H142" i="1"/>
  <c r="G142" i="1"/>
  <c r="G27" i="4" l="1"/>
  <c r="I10" i="2"/>
  <c r="M10" i="2" l="1"/>
  <c r="L10" i="2"/>
</calcChain>
</file>

<file path=xl/sharedStrings.xml><?xml version="1.0" encoding="utf-8"?>
<sst xmlns="http://schemas.openxmlformats.org/spreadsheetml/2006/main" count="1840" uniqueCount="623">
  <si>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</si>
  <si>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</si>
  <si>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</si>
  <si>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</si>
  <si>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</si>
  <si>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</si>
  <si>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</si>
  <si>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</si>
  <si>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</si>
  <si>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</si>
  <si>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</si>
  <si>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</si>
  <si>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</si>
  <si>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</si>
  <si>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</si>
  <si>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</si>
  <si>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</si>
  <si>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</si>
  <si>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</si>
  <si>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</si>
  <si>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</si>
  <si>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</si>
  <si>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</si>
  <si>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</si>
  <si>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</si>
  <si>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</si>
  <si>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</si>
  <si>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</si>
  <si>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</si>
  <si>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</si>
  <si>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</si>
  <si>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</si>
  <si>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</si>
  <si>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</si>
  <si>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</si>
  <si>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</si>
  <si>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</si>
  <si>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</si>
  <si>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</si>
  <si>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</si>
  <si>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</si>
  <si>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</si>
  <si>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</si>
  <si>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</si>
  <si>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</si>
  <si>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</si>
  <si>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</si>
  <si>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</si>
  <si>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</si>
  <si>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</si>
  <si>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</si>
  <si>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</si>
  <si>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</si>
  <si>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</si>
  <si>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</si>
  <si>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</si>
  <si>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</si>
  <si>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</si>
  <si>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</si>
  <si>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</si>
  <si>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</si>
  <si>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</si>
  <si>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</si>
  <si>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</si>
  <si>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</si>
  <si>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</si>
  <si>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</si>
  <si>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</si>
  <si>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</si>
  <si>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</si>
  <si>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</si>
  <si>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</si>
  <si>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</si>
  <si>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</si>
  <si>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</si>
  <si>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</si>
  <si>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</si>
  <si>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</si>
  <si>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</si>
  <si>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</si>
  <si>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</si>
  <si>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</si>
  <si>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</si>
  <si>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</si>
  <si>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</si>
  <si>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</si>
  <si>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</si>
  <si>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</si>
  <si>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</si>
  <si>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</si>
  <si>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</si>
  <si>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</si>
  <si>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</si>
  <si>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</si>
  <si>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</si>
  <si>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</si>
  <si>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</si>
  <si>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</si>
  <si>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</si>
  <si>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</si>
  <si>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</si>
  <si>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</si>
  <si>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</si>
  <si>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</si>
  <si>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</si>
  <si>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</si>
  <si>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</si>
  <si>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</si>
  <si>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</si>
  <si>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</si>
  <si>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</si>
  <si>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</si>
  <si>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</si>
  <si>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</si>
  <si>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</si>
  <si>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</si>
  <si>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</si>
  <si>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</si>
  <si>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</si>
  <si>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</si>
  <si>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</si>
  <si>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</si>
  <si>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</si>
  <si>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</si>
  <si>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</si>
  <si>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</si>
  <si>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</si>
  <si>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</si>
  <si>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</si>
  <si>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</si>
  <si>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</si>
  <si>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</si>
  <si>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</si>
  <si>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</si>
  <si>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</si>
  <si>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</si>
  <si>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</si>
  <si>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</si>
  <si>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</si>
  <si>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</si>
  <si>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</si>
  <si>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</si>
  <si>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</si>
  <si>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</si>
  <si>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</si>
  <si>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</si>
  <si>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</si>
  <si>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</si>
  <si>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</si>
  <si>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</si>
  <si>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</si>
  <si>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</si>
  <si>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</si>
  <si>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</si>
  <si>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</si>
  <si>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</si>
  <si>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</si>
  <si>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MARIA VIRGINIA IRIZARRY QUIÑONES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</si>
  <si>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</si>
  <si>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</si>
  <si>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</si>
  <si>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</si>
  <si>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</si>
  <si>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</si>
  <si>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</si>
  <si>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</si>
  <si>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</si>
  <si>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</si>
  <si>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</si>
  <si>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</si>
  <si>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</si>
  <si>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</si>
  <si>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</si>
  <si>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</si>
  <si>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</si>
  <si>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</si>
  <si>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</si>
  <si>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</si>
  <si>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</si>
  <si>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</si>
  <si>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</si>
  <si>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</si>
  <si>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</si>
  <si>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</si>
  <si>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</si>
  <si>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</si>
  <si>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</si>
  <si>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</si>
  <si>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</si>
  <si>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</si>
  <si>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</si>
  <si>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</si>
  <si>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</si>
  <si>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</si>
  <si>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</si>
  <si>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</si>
  <si>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</si>
  <si>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</si>
  <si>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</si>
  <si>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</si>
  <si>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</si>
  <si>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</si>
  <si>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</si>
  <si>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</si>
  <si>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</si>
  <si>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</si>
  <si>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</si>
  <si>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</si>
  <si>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</si>
  <si>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</si>
  <si>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</si>
  <si>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</si>
  <si>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</si>
  <si>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</si>
  <si>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</si>
  <si>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</si>
  <si>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</si>
  <si>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</si>
  <si>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</si>
  <si>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</si>
  <si>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</si>
  <si>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</si>
  <si>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</si>
  <si>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</si>
  <si>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</si>
  <si>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</si>
  <si>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</si>
  <si>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</si>
  <si>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</si>
  <si>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</si>
  <si>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</si>
  <si>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</si>
  <si>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</si>
  <si>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</si>
  <si>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</si>
  <si>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</si>
  <si>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</si>
  <si>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</si>
  <si>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</si>
  <si>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</si>
  <si>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</si>
  <si>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</si>
  <si>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</si>
  <si>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</si>
  <si>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</si>
  <si>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</si>
  <si>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</si>
  <si>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</si>
  <si>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</si>
  <si>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</si>
  <si>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</si>
  <si>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</si>
  <si>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</si>
  <si>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</si>
  <si>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</si>
  <si>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</si>
  <si>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</si>
  <si>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</si>
  <si>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</si>
  <si>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</si>
  <si>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</si>
  <si>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</si>
  <si>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</si>
  <si>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</si>
  <si>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</si>
  <si>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</si>
  <si>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</si>
  <si>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</si>
  <si>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</si>
  <si>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</si>
  <si>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</si>
  <si>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</si>
  <si>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</si>
  <si>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</si>
  <si>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</si>
  <si>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</si>
  <si>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</si>
  <si>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</si>
  <si>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</si>
  <si>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</si>
  <si>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</si>
  <si>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</si>
  <si>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</si>
  <si>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</si>
  <si>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</si>
  <si>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</si>
  <si>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</si>
  <si>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</si>
  <si>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</si>
  <si>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</si>
  <si>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</si>
  <si>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</si>
  <si>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</si>
  <si>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</si>
  <si>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</si>
  <si>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</si>
  <si>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</si>
  <si>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</si>
  <si>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</si>
  <si>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</si>
  <si>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</si>
  <si>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</si>
  <si>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</si>
  <si>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</si>
  <si>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CARRERA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</si>
  <si>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</si>
  <si>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</si>
  <si>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</si>
  <si>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</si>
  <si>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</si>
  <si>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</si>
  <si>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</si>
  <si>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</si>
  <si>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</si>
  <si>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</si>
  <si>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</si>
  <si>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</si>
  <si>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</si>
  <si>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</si>
  <si>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</si>
  <si>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</si>
  <si>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</si>
  <si>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</si>
  <si>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</si>
  <si>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</si>
  <si>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</si>
  <si>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</si>
  <si>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</si>
  <si>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</si>
  <si>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</si>
  <si>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</si>
  <si>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</si>
  <si>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</si>
  <si>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</si>
  <si>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</si>
  <si>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</si>
  <si>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</si>
  <si>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</si>
  <si>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</si>
  <si>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</si>
  <si>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</si>
  <si>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</si>
  <si>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</si>
  <si>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</si>
  <si>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</si>
  <si>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SECRETARIA</t>
  </si>
  <si>
    <t>EDIMIG ALTAGRACIA BOBADILLA LUCIANO</t>
  </si>
  <si>
    <t>JOSE CASTILLO SANCHEZ</t>
  </si>
  <si>
    <t>CHOFER</t>
  </si>
  <si>
    <t>BETHANIA ANTONIA VALERIO CRUZ</t>
  </si>
  <si>
    <t>REDACTOR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</si>
  <si>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</si>
  <si>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</si>
  <si>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</si>
  <si>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</si>
  <si>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</si>
  <si>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</si>
  <si>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</si>
  <si>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</si>
  <si>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</si>
  <si>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</si>
  <si>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</si>
  <si>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</si>
  <si>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</si>
  <si>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</si>
  <si>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</si>
  <si>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</si>
  <si>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</si>
  <si>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</si>
  <si>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</si>
  <si>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</si>
  <si>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</si>
  <si>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</si>
  <si>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</si>
  <si>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</si>
  <si>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</si>
  <si>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</si>
  <si>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</si>
  <si>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</si>
  <si>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</si>
  <si>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</si>
  <si>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ANALISTA DE GESTION DE CALIDA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</si>
  <si>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</si>
  <si>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</si>
  <si>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</si>
  <si>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</si>
  <si>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</si>
  <si>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</si>
  <si>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</si>
  <si>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</si>
  <si>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</si>
  <si>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</si>
  <si>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</si>
  <si>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</si>
  <si>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DOMINGO MAIRENI SOLIS GOMEZ</t>
  </si>
  <si>
    <t>AYUDANTE DE MANTENIMIENTO</t>
  </si>
  <si>
    <t>FERNANDO FIGUEREO URBAEZ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</si>
  <si>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</si>
  <si>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</si>
  <si>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</si>
  <si>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</si>
  <si>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</si>
  <si>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</si>
  <si>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ANGELA YUDERCA MONTERO</t>
  </si>
  <si>
    <t>CONSERJE</t>
  </si>
  <si>
    <t>GLENYS DEL PILAR SANTANA LOPEZ</t>
  </si>
  <si>
    <t>RAFAEL MEDINA RAMON</t>
  </si>
  <si>
    <t>ANGUSTIA DE OLEO DE OLEO</t>
  </si>
  <si>
    <t>IVELISES DE LA CRUZ GENERES</t>
  </si>
  <si>
    <t>LUZ MERCEDES CEPEDES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</si>
  <si>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</si>
  <si>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</si>
  <si>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</si>
  <si>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</si>
  <si>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</si>
  <si>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</si>
  <si>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</si>
  <si>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</si>
  <si>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</si>
  <si>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</si>
  <si>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</si>
  <si>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</si>
  <si>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</si>
  <si>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</si>
  <si>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</si>
  <si>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</si>
  <si>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</si>
  <si>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</si>
  <si>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</si>
  <si>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</si>
  <si>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</si>
  <si>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</si>
  <si>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</si>
  <si>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</si>
  <si>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</si>
  <si>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</si>
  <si>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</si>
  <si>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</si>
  <si>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</si>
  <si>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</si>
  <si>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</si>
  <si>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</si>
  <si>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</si>
  <si>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</si>
  <si>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</si>
  <si>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</si>
  <si>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</si>
  <si>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</si>
  <si>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</si>
  <si>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ASISTENTE EJECUTIVA</t>
  </si>
  <si>
    <t>CAROLIN MIRIANNY MORETA PEÑA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</si>
  <si>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</si>
  <si>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</si>
  <si>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</si>
  <si>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</si>
  <si>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</si>
  <si>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</si>
  <si>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</si>
  <si>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</si>
  <si>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</si>
  <si>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</si>
  <si>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</si>
  <si>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</si>
  <si>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</si>
  <si>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</si>
  <si>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</si>
  <si>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</si>
  <si>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</si>
  <si>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</si>
  <si>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</si>
  <si>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</si>
  <si>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</si>
  <si>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</si>
  <si>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</si>
  <si>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</si>
  <si>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</si>
  <si>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</si>
  <si>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</si>
  <si>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</si>
  <si>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</si>
  <si>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</si>
  <si>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</si>
  <si>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</si>
  <si>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JULISSA MARÍA TAVERAS GARCIA</t>
  </si>
  <si>
    <t>RECEPCIONISTA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</si>
  <si>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</si>
  <si>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</si>
  <si>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</si>
  <si>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</si>
  <si>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</si>
  <si>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</si>
  <si>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</si>
  <si>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</si>
  <si>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</si>
  <si>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</si>
  <si>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</si>
  <si>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</si>
  <si>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</si>
  <si>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</si>
  <si>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</si>
  <si>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</si>
  <si>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</si>
  <si>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</si>
  <si>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</si>
  <si>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</si>
  <si>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</si>
  <si>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</si>
  <si>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</si>
  <si>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</si>
  <si>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</si>
  <si>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</si>
  <si>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</si>
  <si>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</si>
  <si>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</si>
  <si>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</si>
  <si>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</si>
  <si>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</si>
  <si>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</si>
  <si>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</si>
  <si>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</si>
  <si>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00000136</t>
  </si>
  <si>
    <t>00000137</t>
  </si>
  <si>
    <t>00000138</t>
  </si>
  <si>
    <t>Seguro 
de Pensión 
(2.87%) 
 (2*)</t>
  </si>
  <si>
    <t>ALEIDA GEOMAR BATISTA VENTURA</t>
  </si>
  <si>
    <t>ENC. DPTO. ASIST. TECNICA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</si>
  <si>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</si>
  <si>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</si>
  <si>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</si>
  <si>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</si>
  <si>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</si>
  <si>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</si>
  <si>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</si>
  <si>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</si>
  <si>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</si>
  <si>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</si>
  <si>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</si>
  <si>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</si>
  <si>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</si>
  <si>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</si>
  <si>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</si>
  <si>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</si>
  <si>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</si>
  <si>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</si>
  <si>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</si>
  <si>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</si>
  <si>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</si>
  <si>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</si>
  <si>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SEGURIDAD MILITAR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</si>
  <si>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</si>
  <si>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</si>
  <si>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</si>
  <si>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</si>
  <si>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</si>
  <si>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</si>
  <si>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</si>
  <si>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</si>
  <si>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</si>
  <si>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</si>
  <si>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</si>
  <si>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</si>
  <si>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</si>
  <si>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</si>
  <si>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</si>
  <si>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</si>
  <si>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</si>
  <si>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</si>
  <si>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</si>
  <si>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</si>
  <si>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</si>
  <si>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</si>
  <si>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</si>
  <si>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</si>
  <si>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</si>
  <si>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</si>
  <si>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</si>
  <si>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</si>
  <si>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</si>
  <si>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</si>
  <si>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</si>
  <si>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</si>
  <si>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</si>
  <si>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</si>
  <si>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</si>
  <si>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</si>
  <si>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</si>
  <si>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</si>
  <si>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ANA LISANIA BATISTA MATEO</t>
  </si>
  <si>
    <t>PERIODISTA</t>
  </si>
  <si>
    <t>MIRTA BELLA OTAÑO RIVERA</t>
  </si>
  <si>
    <t>DANIEL TORRES</t>
  </si>
  <si>
    <t>ADMINISTRADOR DE SISTEMAS</t>
  </si>
  <si>
    <t>ALEXANDER DE PEÑA SOLORIN</t>
  </si>
  <si>
    <t>CARMEN CALDERON ESPIRITU</t>
  </si>
  <si>
    <t>AUXILIAR DE SERVICIOS GENERALES</t>
  </si>
  <si>
    <t>OMAR ERNESTO BAUTISTA ALCANTARA</t>
  </si>
  <si>
    <t>m</t>
  </si>
  <si>
    <t>00000133</t>
  </si>
  <si>
    <t>00000134</t>
  </si>
  <si>
    <t>00000135</t>
  </si>
  <si>
    <t>JENNIFFER HERNANDEZ DE LA CRUZ</t>
  </si>
  <si>
    <t>RONALD FAMILIA FRIAS</t>
  </si>
  <si>
    <t>JENNIFER LICELOT GROSS GONZALEZ</t>
  </si>
  <si>
    <t>TECNICO DE DOCUMENTACION</t>
  </si>
  <si>
    <t>ABEL DE JESUS PEÑA FLORES</t>
  </si>
  <si>
    <t>CLARIBEL ALCANTARA MARTINEZ</t>
  </si>
  <si>
    <t>ENCARGADO DE TECNOLOGIA DE LA INF</t>
  </si>
  <si>
    <t>RICHARD FEDERICO MENDOZA VALENZUELA</t>
  </si>
  <si>
    <t xml:space="preserve"> 1 /6/2018</t>
  </si>
  <si>
    <t>PAGO SUELDOS EMPLEADOS EN TRAMITE DE PENSION NOVIEMBRE 2022</t>
  </si>
  <si>
    <t>PAGO SUELDOS EMPLEADOS EN PERIODO PROBATORIO NOVIEMBRE 2022</t>
  </si>
  <si>
    <t>COMPENSACIÓN DE MILITARES NOVIEMBRE 2022</t>
  </si>
  <si>
    <t>PAGO SUELDOS PERSONAL FIJO NOVIEMBRE 2022</t>
  </si>
  <si>
    <t>PAGO SUELDOS EMPLEADOS TEMPORALES NOVIEMBRE 2022</t>
  </si>
  <si>
    <t>FIORDALISA LUCIANO</t>
  </si>
  <si>
    <t>DEYBIS JOEL BREA SUAZO</t>
  </si>
  <si>
    <t>ANALISTA FUNCIONAL</t>
  </si>
  <si>
    <t>DANNY ALBERTO RODRIGUEZ TINEO</t>
  </si>
  <si>
    <t>KEIDY YOSAIDA ROSSIS MENDEZ</t>
  </si>
  <si>
    <t>FERNANDO MIGUEL MATOS JIMINIAN</t>
  </si>
  <si>
    <t>MILAGROS JOSEFINA SANTANA CABRAL</t>
  </si>
  <si>
    <t>MANUEL ESTEBAN GARCIA SUERO</t>
  </si>
  <si>
    <t>ADMINISTRADOR DE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</si>
</sst>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entury Gothic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8">
    <xf numFmtId="0" fontId="0" fillId="0" borderId="0" xfId="0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4" fontId="4" fillId="0" borderId="5" xfId="0" applyNumberFormat="1" applyFont="1" applyBorder="1"/>
    <xf numFmtId="0" fontId="4" fillId="0" borderId="5" xfId="0" applyFont="1" applyBorder="1"/>
    <xf numFmtId="4" fontId="4" fillId="0" borderId="7" xfId="0" applyNumberFormat="1" applyFont="1" applyBorder="1"/>
    <xf numFmtId="4" fontId="20" fillId="0" borderId="5" xfId="0" applyNumberFormat="1" applyFont="1" applyBorder="1" applyAlignment="1">
      <alignment horizontal="left" wrapText="1"/>
    </xf>
    <xf numFmtId="4" fontId="20" fillId="0" borderId="7" xfId="0" applyNumberFormat="1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28" fillId="3" borderId="5" xfId="0" applyNumberFormat="1" applyFont="1" applyFill="1" applyBorder="1" applyAlignment="1" applyProtection="1">
      <alignment horizontal="left" vertical="center"/>
    </xf>
    <xf numFmtId="0" fontId="29" fillId="3" borderId="5" xfId="0" applyFont="1" applyFill="1" applyBorder="1"/>
    <xf numFmtId="0" fontId="29" fillId="3" borderId="10" xfId="0" applyFont="1" applyFill="1" applyBorder="1"/>
    <xf numFmtId="43" fontId="30" fillId="3" borderId="10" xfId="0" applyNumberFormat="1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43" fontId="4" fillId="0" borderId="5" xfId="1" applyFont="1" applyBorder="1"/>
    <xf numFmtId="0" fontId="4" fillId="0" borderId="5" xfId="0" applyFont="1" applyFill="1" applyBorder="1"/>
    <xf numFmtId="4" fontId="4" fillId="0" borderId="5" xfId="0" applyNumberFormat="1" applyFont="1" applyFill="1" applyBorder="1"/>
    <xf numFmtId="0" fontId="0" fillId="0" borderId="0" xfId="0" applyFill="1"/>
    <xf numFmtId="0" fontId="4" fillId="0" borderId="0" xfId="0" applyFont="1"/>
    <xf numFmtId="4" fontId="4" fillId="0" borderId="7" xfId="0" applyNumberFormat="1" applyFont="1" applyFill="1" applyBorder="1"/>
    <xf numFmtId="0" fontId="13" fillId="0" borderId="17" xfId="2" applyFont="1" applyBorder="1" applyAlignment="1">
      <alignment vertical="center"/>
    </xf>
    <xf numFmtId="0" fontId="0" fillId="0" borderId="17" xfId="0" applyBorder="1"/>
    <xf numFmtId="0" fontId="31" fillId="0" borderId="0" xfId="0" applyFont="1" applyBorder="1" applyAlignment="1">
      <alignment horizont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3" fillId="0" borderId="0" xfId="2" applyFont="1" applyFill="1" applyAlignment="1">
      <alignment vertical="center"/>
    </xf>
    <xf numFmtId="4" fontId="0" fillId="0" borderId="0" xfId="0" applyNumberFormat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4" fillId="0" borderId="0" xfId="0" applyFont="1"/>
    <xf numFmtId="4" fontId="35" fillId="0" borderId="14" xfId="2" applyNumberFormat="1" applyFont="1" applyFill="1" applyBorder="1" applyAlignment="1">
      <alignment horizontal="left" vertical="center"/>
    </xf>
    <xf numFmtId="0" fontId="36" fillId="0" borderId="14" xfId="0" applyFont="1" applyBorder="1"/>
    <xf numFmtId="0" fontId="37" fillId="0" borderId="0" xfId="2" applyFont="1" applyFill="1" applyAlignment="1">
      <alignment vertical="center"/>
    </xf>
    <xf numFmtId="0" fontId="36" fillId="0" borderId="0" xfId="0" applyFont="1"/>
    <xf numFmtId="0" fontId="13" fillId="0" borderId="0" xfId="2" applyFont="1" applyBorder="1" applyAlignment="1">
      <alignment vertical="center"/>
    </xf>
    <xf numFmtId="0" fontId="0" fillId="0" borderId="0" xfId="0" applyBorder="1"/>
    <xf numFmtId="43" fontId="4" fillId="0" borderId="5" xfId="1" applyFont="1" applyFill="1" applyBorder="1"/>
    <xf numFmtId="4" fontId="34" fillId="0" borderId="0" xfId="0" applyNumberFormat="1" applyFont="1"/>
    <xf numFmtId="0" fontId="20" fillId="0" borderId="4" xfId="0" applyFont="1" applyFill="1" applyBorder="1"/>
    <xf numFmtId="4" fontId="20" fillId="0" borderId="4" xfId="0" applyNumberFormat="1" applyFont="1" applyFill="1" applyBorder="1"/>
    <xf numFmtId="43" fontId="20" fillId="0" borderId="4" xfId="1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39" fillId="0" borderId="0" xfId="0" applyFont="1" applyFill="1"/>
    <xf numFmtId="0" fontId="20" fillId="0" borderId="5" xfId="0" applyFont="1" applyFill="1" applyBorder="1"/>
    <xf numFmtId="4" fontId="20" fillId="0" borderId="5" xfId="0" applyNumberFormat="1" applyFont="1" applyFill="1" applyBorder="1"/>
    <xf numFmtId="0" fontId="20" fillId="0" borderId="7" xfId="0" applyFont="1" applyFill="1" applyBorder="1" applyAlignment="1">
      <alignment horizontal="center"/>
    </xf>
    <xf numFmtId="43" fontId="20" fillId="0" borderId="5" xfId="1" applyFont="1" applyFill="1" applyBorder="1"/>
    <xf numFmtId="0" fontId="20" fillId="0" borderId="5" xfId="0" applyFont="1" applyFill="1" applyBorder="1" applyAlignment="1">
      <alignment horizontal="center"/>
    </xf>
    <xf numFmtId="4" fontId="20" fillId="0" borderId="0" xfId="0" applyNumberFormat="1" applyFont="1" applyFill="1"/>
    <xf numFmtId="0" fontId="20" fillId="0" borderId="5" xfId="0" applyFont="1" applyBorder="1"/>
    <xf numFmtId="4" fontId="20" fillId="0" borderId="5" xfId="0" applyNumberFormat="1" applyFont="1" applyBorder="1"/>
    <xf numFmtId="43" fontId="20" fillId="0" borderId="5" xfId="1" applyFont="1" applyBorder="1"/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39" fillId="0" borderId="0" xfId="0" applyFont="1"/>
    <xf numFmtId="0" fontId="4" fillId="0" borderId="4" xfId="0" applyFont="1" applyFill="1" applyBorder="1"/>
    <xf numFmtId="4" fontId="4" fillId="0" borderId="4" xfId="0" applyNumberFormat="1" applyFont="1" applyFill="1" applyBorder="1"/>
    <xf numFmtId="0" fontId="40" fillId="4" borderId="8" xfId="0" applyFont="1" applyFill="1" applyBorder="1"/>
    <xf numFmtId="0" fontId="40" fillId="4" borderId="9" xfId="0" applyFont="1" applyFill="1" applyBorder="1" applyAlignment="1">
      <alignment horizontal="center"/>
    </xf>
    <xf numFmtId="0" fontId="40" fillId="4" borderId="9" xfId="0" applyFont="1" applyFill="1" applyBorder="1"/>
    <xf numFmtId="4" fontId="40" fillId="4" borderId="9" xfId="0" applyNumberFormat="1" applyFont="1" applyFill="1" applyBorder="1"/>
    <xf numFmtId="4" fontId="41" fillId="4" borderId="9" xfId="0" applyNumberFormat="1" applyFont="1" applyFill="1" applyBorder="1"/>
    <xf numFmtId="0" fontId="40" fillId="4" borderId="11" xfId="0" applyFont="1" applyFill="1" applyBorder="1"/>
    <xf numFmtId="0" fontId="42" fillId="0" borderId="5" xfId="0" applyFont="1" applyFill="1" applyBorder="1"/>
    <xf numFmtId="164" fontId="42" fillId="0" borderId="5" xfId="0" applyNumberFormat="1" applyFont="1" applyFill="1" applyBorder="1" applyAlignment="1">
      <alignment horizontal="left"/>
    </xf>
    <xf numFmtId="4" fontId="42" fillId="0" borderId="5" xfId="0" applyNumberFormat="1" applyFont="1" applyFill="1" applyBorder="1"/>
    <xf numFmtId="0" fontId="42" fillId="0" borderId="7" xfId="0" applyFont="1" applyFill="1" applyBorder="1" applyAlignment="1">
      <alignment horizontal="center"/>
    </xf>
    <xf numFmtId="164" fontId="42" fillId="0" borderId="5" xfId="0" applyNumberFormat="1" applyFont="1" applyFill="1" applyBorder="1" applyAlignment="1">
      <alignment horizontal="left" vertical="center"/>
    </xf>
    <xf numFmtId="0" fontId="43" fillId="3" borderId="5" xfId="0" applyNumberFormat="1" applyFont="1" applyFill="1" applyBorder="1" applyAlignment="1" applyProtection="1">
      <alignment horizontal="left" vertical="center"/>
    </xf>
    <xf numFmtId="4" fontId="44" fillId="3" borderId="9" xfId="0" applyNumberFormat="1" applyFont="1" applyFill="1" applyBorder="1"/>
    <xf numFmtId="4" fontId="45" fillId="3" borderId="9" xfId="0" applyNumberFormat="1" applyFont="1" applyFill="1" applyBorder="1"/>
    <xf numFmtId="0" fontId="44" fillId="3" borderId="9" xfId="0" applyFont="1" applyFill="1" applyBorder="1"/>
    <xf numFmtId="0" fontId="44" fillId="3" borderId="11" xfId="0" applyFont="1" applyFill="1" applyBorder="1"/>
    <xf numFmtId="0" fontId="47" fillId="0" borderId="0" xfId="2" applyFont="1" applyAlignment="1">
      <alignment vertical="center"/>
    </xf>
    <xf numFmtId="0" fontId="47" fillId="0" borderId="0" xfId="2" applyFont="1" applyFill="1" applyAlignment="1">
      <alignment vertical="center"/>
    </xf>
    <xf numFmtId="0" fontId="46" fillId="0" borderId="0" xfId="0" applyFont="1" applyBorder="1"/>
    <xf numFmtId="0" fontId="0" fillId="0" borderId="0" xfId="0" applyBorder="1" applyAlignment="1">
      <alignment vertical="center"/>
    </xf>
    <xf numFmtId="43" fontId="0" fillId="0" borderId="0" xfId="1" applyFont="1" applyBorder="1"/>
    <xf numFmtId="0" fontId="4" fillId="0" borderId="3" xfId="0" applyFont="1" applyFill="1" applyBorder="1"/>
    <xf numFmtId="0" fontId="20" fillId="0" borderId="3" xfId="0" applyFont="1" applyFill="1" applyBorder="1"/>
    <xf numFmtId="0" fontId="3" fillId="0" borderId="0" xfId="2" applyFont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4" fillId="0" borderId="9" xfId="0" applyFont="1" applyFill="1" applyBorder="1"/>
    <xf numFmtId="14" fontId="4" fillId="0" borderId="9" xfId="0" applyNumberFormat="1" applyFont="1" applyFill="1" applyBorder="1" applyAlignment="1">
      <alignment horizontal="center"/>
    </xf>
    <xf numFmtId="4" fontId="4" fillId="0" borderId="9" xfId="0" applyNumberFormat="1" applyFont="1" applyFill="1" applyBorder="1"/>
    <xf numFmtId="4" fontId="4" fillId="0" borderId="1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2" fillId="0" borderId="5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2462893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12</xdr:col>
      <xdr:colOff>3311362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3129197</xdr:colOff>
      <xdr:row>6</xdr:row>
      <xdr:rowOff>40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15341" y="54428"/>
          <a:ext cx="2143496" cy="13172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0</xdr:rowOff>
    </xdr:from>
    <xdr:to>
      <xdr:col>14</xdr:col>
      <xdr:colOff>771261</xdr:colOff>
      <xdr:row>6</xdr:row>
      <xdr:rowOff>121646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783482" y="0"/>
          <a:ext cx="2172879" cy="148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46" totalsRowCount="1" headerRowDxfId="144" dataDxfId="142" totalsRowDxfId="140" headerRowBorderDxfId="143" tableBorderDxfId="141" totalsRowBorderDxfId="139">
  <autoFilter ref="A7:N145"/>
  <tableColumns count="14">
    <tableColumn id="16" name="No." totalsRowDxfId="13"/>
    <tableColumn id="1" name="Empleado" totalsRowLabel="TOTAL GENERAL" totalsRowDxfId="12"/>
    <tableColumn id="2" name="Departamento" totalsRowDxfId="11"/>
    <tableColumn id="3" name="Cargo" totalsRowDxfId="10"/>
    <tableColumn id="4" name="Fecha _x000a_de_x000a_ Ingreso" totalsRowDxfId="9"/>
    <tableColumn id="5" name="Sueldo Bruto_x000a_(RD$)" totalsRowFunction="sum" totalsRowDxfId="8"/>
    <tableColumn id="9" name="ISR_x000a_(Ley 11-92)_x000a_(1*)" totalsRowFunction="sum" totalsRowDxfId="7"/>
    <tableColumn id="8" name="Seguro _x000a_de Pensión _x000a_(2.87%) _x000a_ (2*)" totalsRowFunction="sum" totalsRowDxfId="6"/>
    <tableColumn id="10" name="Seguro _x000a_de Salud (3.04%)_x000a_ (3*)" totalsRowFunction="sum" totalsRowDxfId="5"/>
    <tableColumn id="11" name="Otros _x000a_Descuentos" totalsRowFunction="sum" totalsRowDxfId="4"/>
    <tableColumn id="12" name="Total _x000a_de _x000a_Descuento" totalsRowFunction="sum" totalsRowDxfId="3"/>
    <tableColumn id="13" name="Neto" totalsRowFunction="sum" totalsRowDxfId="2"/>
    <tableColumn id="14" name="Tipo _x000a_de Empleado" totalsRowDxfId="1"/>
    <tableColumn id="15" name="sexo" totalsRowFunction="count" totalsRow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42" totalsRowCount="1" headerRowDxfId="138" dataDxfId="136" totalsRowDxfId="134" headerRowBorderDxfId="137" tableBorderDxfId="135" totalsRowBorderDxfId="133">
  <autoFilter ref="A7:O141"/>
  <tableColumns count="15">
    <tableColumn id="1" name=" No." dataDxfId="132" totalsRowDxfId="131"/>
    <tableColumn id="2" name="Empleado" totalsRowLabel="TOTAL GENERAL" dataDxfId="130" totalsRowDxfId="129"/>
    <tableColumn id="3" name="Departamento" dataDxfId="128" totalsRowDxfId="127"/>
    <tableColumn id="4" name="Cargo" dataDxfId="126" totalsRowDxfId="125"/>
    <tableColumn id="5" name="Fecha de _x000a_inicio Temporalidad" dataDxfId="124" totalsRowDxfId="123"/>
    <tableColumn id="15" name="Fecha de finalización Temporalidad _x000a_" dataDxfId="122" totalsRowDxfId="121"/>
    <tableColumn id="6" name="Sueldo Bruto_x000a_(RD$)" totalsRowFunction="sum" dataDxfId="120" totalsRowDxfId="119"/>
    <tableColumn id="8" name="ISR_x000a_(Ley 11-92)_x000a_(1*)" totalsRowFunction="sum" dataDxfId="118" totalsRowDxfId="117"/>
    <tableColumn id="7" name="Seguro _x000a_de Pensión _x000a_(2.87%)  _x000a_(2*)" totalsRowFunction="sum" dataDxfId="116" totalsRowDxfId="115"/>
    <tableColumn id="9" name="Seguro _x000a_de Salud _x000a_(3.04%)_x000a_ (3*)" totalsRowFunction="sum" dataDxfId="114" totalsRowDxfId="113"/>
    <tableColumn id="10" name="Otros_x000a_ Descuentos" totalsRowFunction="sum" dataDxfId="112" totalsRowDxfId="111"/>
    <tableColumn id="11" name="Total de _x000a_Descuentos" totalsRowFunction="sum" dataDxfId="110" totalsRowDxfId="109"/>
    <tableColumn id="12" name="Sueldo_x000a_Neto_x000a_(RD$)" totalsRowFunction="sum" dataDxfId="108" totalsRowDxfId="107"/>
    <tableColumn id="13" name="Tipo de empleado" dataDxfId="106" totalsRowDxfId="105"/>
    <tableColumn id="14" name="sexo" totalsRowFunction="count" dataDxfId="104" totalsRowDxfId="10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8:O10" totalsRowCount="1" headerRowDxfId="102" dataDxfId="100" totalsRowDxfId="98" headerRowBorderDxfId="101" tableBorderDxfId="99">
  <autoFilter ref="A8:O9"/>
  <tableColumns count="15">
    <tableColumn id="1" name=" No." dataDxfId="97" totalsRowDxfId="96" dataCellStyle="Normal 3"/>
    <tableColumn id="2" name="Empleado" totalsRowLabel="TOTAL GENERAL" dataDxfId="95" totalsRowDxfId="94"/>
    <tableColumn id="3" name="Departamento" dataDxfId="93" totalsRowDxfId="92"/>
    <tableColumn id="4" name="Cargo" dataDxfId="91" totalsRowDxfId="90"/>
    <tableColumn id="5" name="Fecha de _x000a_inicio peiodo de prueba" dataDxfId="89" totalsRowDxfId="88"/>
    <tableColumn id="6" name="Fecha de _x000a_Termino de periodo de prueba " dataDxfId="87" totalsRowDxfId="86"/>
    <tableColumn id="7" name="Sueldo Bruto_x000a_(RD$)" totalsRowFunction="sum" dataDxfId="85" totalsRowDxfId="84" dataCellStyle="Millares"/>
    <tableColumn id="8" name="ISR_x000a_(Ley 11-92)_x000a_(1*)" totalsRowFunction="sum" dataDxfId="83" totalsRowDxfId="82" dataCellStyle="Millares"/>
    <tableColumn id="9" name="Seguro _x000a_de Pensión _x000a_(2.87%)  _x000a_(2*)" totalsRowFunction="sum" dataDxfId="81" totalsRowDxfId="80" dataCellStyle="Millares"/>
    <tableColumn id="10" name="Seguro _x000a_de Salud _x000a_(3.04%)_x000a_ (3*)" totalsRowFunction="sum" dataDxfId="79" totalsRowDxfId="78" dataCellStyle="Millares"/>
    <tableColumn id="11" name="Otros_x000a_ Descuentos" totalsRowFunction="sum" dataDxfId="77" totalsRowDxfId="76" dataCellStyle="Millares"/>
    <tableColumn id="12" name="Total de _x000a_Descuentos" totalsRowFunction="sum" dataDxfId="75" totalsRowDxfId="74" dataCellStyle="Millares"/>
    <tableColumn id="13" name="Sueldo_x000a_Neto_x000a_(RD$)" totalsRowFunction="sum" dataDxfId="73" totalsRowDxfId="72" dataCellStyle="Millares"/>
    <tableColumn id="14" name="Tipo de empleado" dataDxfId="71" totalsRowDxfId="70"/>
    <tableColumn id="15" name="sexo" dataDxfId="69" totalsRowDxfId="68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abla256" displayName="Tabla256" ref="A8:N10" totalsRowCount="1" headerRowDxfId="67" dataDxfId="65" totalsRowDxfId="63" headerRowBorderDxfId="66" tableBorderDxfId="64">
  <autoFilter ref="A8:N9"/>
  <tableColumns count="14">
    <tableColumn id="1" name=" No." dataDxfId="62" totalsRowDxfId="61" dataCellStyle="Normal 3"/>
    <tableColumn id="2" name="Empleado" totalsRowLabel="TOTAL GENERAL" dataDxfId="60" totalsRowDxfId="59"/>
    <tableColumn id="3" name="Departamento" dataDxfId="58" totalsRowDxfId="57"/>
    <tableColumn id="4" name="Cargo" dataDxfId="56" totalsRowDxfId="55"/>
    <tableColumn id="5" name="Fecha de _x000a_inicio Ingreso" dataDxfId="54" totalsRowDxfId="53"/>
    <tableColumn id="7" name="Sueldo Bruto_x000a_(RD$)" totalsRowFunction="sum" dataDxfId="52" totalsRowDxfId="51" dataCellStyle="Millares"/>
    <tableColumn id="8" name="ISR_x000a_(Ley 11-92)_x000a_(1*)" totalsRowFunction="sum" dataDxfId="50" totalsRowDxfId="49" dataCellStyle="Millares"/>
    <tableColumn id="9" name="Seguro _x000a_de Pensión _x000a_(2.87%)  _x000a_(2*)" totalsRowFunction="sum" dataDxfId="48" totalsRowDxfId="47" dataCellStyle="Millares">
      <calculatedColumnFormula>+F9*0.0287</calculatedColumnFormula>
    </tableColumn>
    <tableColumn id="10" name="Seguro _x000a_de Salud _x000a_(3.04%)_x000a_ (3*)" totalsRowFunction="sum" dataDxfId="46" totalsRowDxfId="45" dataCellStyle="Millares">
      <calculatedColumnFormula>+F9*0.0304</calculatedColumnFormula>
    </tableColumn>
    <tableColumn id="11" name="Otros_x000a_ Descuentos" totalsRowFunction="sum" dataDxfId="44" totalsRowDxfId="43" dataCellStyle="Millares"/>
    <tableColumn id="12" name="Total de _x000a_Descuentos" totalsRowFunction="sum" dataDxfId="42" totalsRowDxfId="41" dataCellStyle="Millares">
      <calculatedColumnFormula>SUM(G9:J9)</calculatedColumnFormula>
    </tableColumn>
    <tableColumn id="13" name="Sueldo_x000a_Neto_x000a_(RD$)" totalsRowFunction="sum" dataDxfId="40" totalsRowDxfId="39" dataCellStyle="Millares">
      <calculatedColumnFormula>+F9-K9</calculatedColumnFormula>
    </tableColumn>
    <tableColumn id="14" name="Tipo de _x000a_empleado" dataDxfId="38" totalsRowDxfId="37"/>
    <tableColumn id="15" name="sexo" dataDxfId="36" totalsRowDxfId="35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Tabla25" displayName="Tabla25" ref="A8:H27" totalsRowCount="1" headerRowDxfId="34" dataDxfId="32" totalsRowDxfId="30" headerRowBorderDxfId="33" tableBorderDxfId="31">
  <autoFilter ref="A8:H26"/>
  <tableColumns count="8">
    <tableColumn id="2" name="Empleado" totalsRowLabel="TOTAL GENERAL" dataDxfId="29" totalsRowDxfId="28"/>
    <tableColumn id="1" name="Rango" dataDxfId="27" totalsRowDxfId="26"/>
    <tableColumn id="3" name="Departamento" dataDxfId="25" totalsRowDxfId="24"/>
    <tableColumn id="4" name="Cargo" dataDxfId="23" totalsRowDxfId="22"/>
    <tableColumn id="7" name="Sueldo Bruto_x000a_(RD$)" totalsRowFunction="sum" dataDxfId="21" totalsRowDxfId="20" dataCellStyle="Millares"/>
    <tableColumn id="8" name="ISR_x000a_(Ley 11-92)_x000a_(1*)" totalsRowFunction="sum" dataDxfId="19" totalsRowDxfId="18" dataCellStyle="Millares"/>
    <tableColumn id="13" name="Sueldo_x000a_Neto_x000a_(RD$)" totalsRowFunction="sum" dataDxfId="17" totalsRowDxfId="16" dataCellStyle="Millares">
      <calculatedColumnFormula>+Tabla25[[#This Row],[Sueldo Bruto
(RD$)]]-Tabla25[[#This Row],[ISR
(Ley 11-92)
(1*)]]</calculatedColumnFormula>
    </tableColumn>
    <tableColumn id="15" name="sexo" dataDxfId="15" totalsRowDxfId="1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="45" zoomScaleNormal="45" workbookViewId="0">
      <selection activeCell="R55" sqref="A55:R139"/>
    </sheetView>
  </sheetViews>
  <sheetFormatPr baseColWidth="10" defaultRowHeight="30" customHeight="1"/>
  <cols>
    <col min="1" max="1" width="14.85546875" customWidth="1"/>
    <col min="2" max="2" width="59.7109375" customWidth="1"/>
    <col min="3" max="3" width="109" customWidth="1"/>
    <col min="4" max="4" width="51.28515625" customWidth="1"/>
    <col min="5" max="5" width="18.7109375" customWidth="1"/>
    <col min="6" max="6" width="21.85546875" customWidth="1"/>
    <col min="7" max="7" width="21" bestFit="1" customWidth="1"/>
    <col min="8" max="8" width="22.7109375" bestFit="1" customWidth="1"/>
    <col min="9" max="9" width="18.5703125" bestFit="1" customWidth="1"/>
    <col min="10" max="10" width="21.7109375" customWidth="1"/>
    <col min="11" max="11" width="22.7109375" customWidth="1"/>
    <col min="12" max="12" width="21.7109375" customWidth="1"/>
    <col min="13" max="13" width="49.7109375" customWidth="1"/>
    <col min="14" max="14" width="11.7109375" bestFit="1" customWidth="1"/>
  </cols>
  <sheetData>
    <row r="1" spans="1:15" ht="30" customHeight="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27"/>
    </row>
    <row r="2" spans="1:15" ht="30" customHeight="1">
      <c r="A2" s="159" t="s">
        <v>612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7"/>
    </row>
    <row r="6" spans="1:15" ht="30" customHeight="1" thickBot="1"/>
    <row r="7" spans="1:15" ht="83.25" customHeight="1" thickBot="1">
      <c r="A7" s="36" t="s">
        <v>505</v>
      </c>
      <c r="B7" s="36" t="s">
        <v>2</v>
      </c>
      <c r="C7" s="36" t="s">
        <v>3</v>
      </c>
      <c r="D7" s="36" t="s">
        <v>4</v>
      </c>
      <c r="E7" s="37" t="s">
        <v>312</v>
      </c>
      <c r="F7" s="37" t="s">
        <v>5</v>
      </c>
      <c r="G7" s="37" t="s">
        <v>6</v>
      </c>
      <c r="H7" s="37" t="s">
        <v>523</v>
      </c>
      <c r="I7" s="38" t="s">
        <v>313</v>
      </c>
      <c r="J7" s="39" t="s">
        <v>314</v>
      </c>
      <c r="K7" s="39" t="s">
        <v>315</v>
      </c>
      <c r="L7" s="40" t="s">
        <v>316</v>
      </c>
      <c r="M7" s="39" t="s">
        <v>317</v>
      </c>
      <c r="N7" s="41" t="s">
        <v>13</v>
      </c>
    </row>
    <row r="8" spans="1:15" s="94" customFormat="1" ht="30" customHeight="1">
      <c r="A8" s="157" t="s">
        <v>14</v>
      </c>
      <c r="B8" s="134" t="s">
        <v>318</v>
      </c>
      <c r="C8" s="134" t="s">
        <v>16</v>
      </c>
      <c r="D8" s="134" t="s">
        <v>319</v>
      </c>
      <c r="E8" s="28">
        <v>44059</v>
      </c>
      <c r="F8" s="135">
        <v>285000</v>
      </c>
      <c r="G8" s="135">
        <v>56552.04</v>
      </c>
      <c r="H8" s="135">
        <v>8179.5</v>
      </c>
      <c r="I8" s="93">
        <v>4943.8</v>
      </c>
      <c r="J8" s="92">
        <v>25</v>
      </c>
      <c r="K8" s="93">
        <v>69700.34</v>
      </c>
      <c r="L8" s="93">
        <v>215299.66</v>
      </c>
      <c r="M8" s="93" t="s">
        <v>320</v>
      </c>
      <c r="N8" s="96" t="s">
        <v>35</v>
      </c>
    </row>
    <row r="9" spans="1:15" ht="30" customHeight="1">
      <c r="A9" s="157" t="s">
        <v>20</v>
      </c>
      <c r="B9" s="31" t="s">
        <v>321</v>
      </c>
      <c r="C9" s="31" t="s">
        <v>16</v>
      </c>
      <c r="D9" s="31" t="s">
        <v>322</v>
      </c>
      <c r="E9" s="24">
        <v>44060</v>
      </c>
      <c r="F9" s="30">
        <v>245000</v>
      </c>
      <c r="G9" s="30">
        <v>46839.040000000001</v>
      </c>
      <c r="H9" s="30">
        <v>7031.5</v>
      </c>
      <c r="I9" s="30">
        <v>4943.8</v>
      </c>
      <c r="J9" s="31">
        <v>25</v>
      </c>
      <c r="K9" s="30">
        <v>58839.34</v>
      </c>
      <c r="L9" s="30">
        <v>186160.66</v>
      </c>
      <c r="M9" s="30" t="s">
        <v>320</v>
      </c>
      <c r="N9" s="32" t="s">
        <v>19</v>
      </c>
    </row>
    <row r="10" spans="1:15" ht="30" customHeight="1">
      <c r="A10" s="157" t="s">
        <v>23</v>
      </c>
      <c r="B10" s="31" t="s">
        <v>323</v>
      </c>
      <c r="C10" s="31" t="s">
        <v>16</v>
      </c>
      <c r="D10" s="31" t="s">
        <v>322</v>
      </c>
      <c r="E10" s="24">
        <v>44060</v>
      </c>
      <c r="F10" s="30">
        <v>245000</v>
      </c>
      <c r="G10" s="30">
        <v>46460.93</v>
      </c>
      <c r="H10" s="30">
        <v>7031.5</v>
      </c>
      <c r="I10" s="30">
        <v>4943.8</v>
      </c>
      <c r="J10" s="30">
        <f>25+1512.45</f>
        <v>1537.45</v>
      </c>
      <c r="K10" s="30">
        <f>+Tabla4[[#This Row],[ISR
(Ley 11-92)
(1*)]]+Tabla4[[#This Row],[Seguro 
de Pensión 
(2.87%) 
 (2*)]]+Tabla4[[#This Row],[Seguro 
de Salud (3.04%)
 (3*)]]+Tabla4[[#This Row],[Otros 
Descuentos]]</f>
        <v>59973.68</v>
      </c>
      <c r="L10" s="30">
        <f>+Tabla4[[#This Row],[Sueldo Bruto
(RD$)]]-Tabla4[[#This Row],[Total 
de 
Descuento]]</f>
        <v>185026.32</v>
      </c>
      <c r="M10" s="30" t="s">
        <v>320</v>
      </c>
      <c r="N10" s="32" t="s">
        <v>19</v>
      </c>
    </row>
    <row r="11" spans="1:15" ht="30" customHeight="1">
      <c r="A11" s="157" t="s">
        <v>25</v>
      </c>
      <c r="B11" s="31" t="s">
        <v>324</v>
      </c>
      <c r="C11" s="31" t="s">
        <v>16</v>
      </c>
      <c r="D11" s="31" t="s">
        <v>325</v>
      </c>
      <c r="E11" s="24">
        <v>44206</v>
      </c>
      <c r="F11" s="30">
        <v>150000</v>
      </c>
      <c r="G11" s="91">
        <v>23866.62</v>
      </c>
      <c r="H11" s="30">
        <v>4305</v>
      </c>
      <c r="I11" s="30">
        <v>4560</v>
      </c>
      <c r="J11" s="31">
        <v>25</v>
      </c>
      <c r="K11" s="30">
        <f>+Tabla4[[#This Row],[ISR
(Ley 11-92)
(1*)]]+Tabla4[[#This Row],[Seguro 
de Pensión 
(2.87%) 
 (2*)]]+Tabla4[[#This Row],[Seguro 
de Salud (3.04%)
 (3*)]]+Tabla4[[#This Row],[Otros 
Descuentos]]</f>
        <v>32756.62</v>
      </c>
      <c r="L11" s="30">
        <f>+Tabla4[[#This Row],[Sueldo Bruto
(RD$)]]-Tabla4[[#This Row],[Total 
de 
Descuento]]</f>
        <v>117243.38</v>
      </c>
      <c r="M11" s="30" t="s">
        <v>326</v>
      </c>
      <c r="N11" s="32" t="s">
        <v>35</v>
      </c>
    </row>
    <row r="12" spans="1:15" ht="30" customHeight="1">
      <c r="A12" s="157" t="s">
        <v>27</v>
      </c>
      <c r="B12" s="31" t="s">
        <v>327</v>
      </c>
      <c r="C12" s="31" t="s">
        <v>16</v>
      </c>
      <c r="D12" s="31" t="s">
        <v>325</v>
      </c>
      <c r="E12" s="24">
        <v>44685</v>
      </c>
      <c r="F12" s="30">
        <v>130000</v>
      </c>
      <c r="G12" s="30">
        <v>19162.12</v>
      </c>
      <c r="H12" s="30">
        <v>3731</v>
      </c>
      <c r="I12" s="30">
        <v>3952</v>
      </c>
      <c r="J12" s="31">
        <v>25</v>
      </c>
      <c r="K12" s="30">
        <v>26870.12</v>
      </c>
      <c r="L12" s="30">
        <v>103129.88</v>
      </c>
      <c r="M12" s="30" t="s">
        <v>326</v>
      </c>
      <c r="N12" s="32" t="s">
        <v>35</v>
      </c>
    </row>
    <row r="13" spans="1:15" ht="30" customHeight="1">
      <c r="A13" s="157" t="s">
        <v>29</v>
      </c>
      <c r="B13" s="31" t="s">
        <v>328</v>
      </c>
      <c r="C13" s="31" t="s">
        <v>16</v>
      </c>
      <c r="D13" s="31" t="s">
        <v>329</v>
      </c>
      <c r="E13" s="24">
        <v>44060</v>
      </c>
      <c r="F13" s="30">
        <v>150000</v>
      </c>
      <c r="G13" s="30">
        <v>23866.62</v>
      </c>
      <c r="H13" s="30">
        <v>4305</v>
      </c>
      <c r="I13" s="30">
        <v>4560</v>
      </c>
      <c r="J13" s="31">
        <v>25</v>
      </c>
      <c r="K13" s="30">
        <v>32756.62</v>
      </c>
      <c r="L13" s="30">
        <v>117243.38</v>
      </c>
      <c r="M13" s="30" t="s">
        <v>326</v>
      </c>
      <c r="N13" s="32" t="s">
        <v>35</v>
      </c>
    </row>
    <row r="14" spans="1:15" ht="30" customHeight="1">
      <c r="A14" s="157" t="s">
        <v>31</v>
      </c>
      <c r="B14" s="31" t="s">
        <v>330</v>
      </c>
      <c r="C14" s="31" t="s">
        <v>16</v>
      </c>
      <c r="D14" s="31" t="s">
        <v>331</v>
      </c>
      <c r="E14" s="24">
        <v>41205</v>
      </c>
      <c r="F14" s="30">
        <v>100000</v>
      </c>
      <c r="G14" s="30">
        <v>12105.37</v>
      </c>
      <c r="H14" s="30">
        <v>2870</v>
      </c>
      <c r="I14" s="30">
        <v>3040</v>
      </c>
      <c r="J14" s="30">
        <v>1125</v>
      </c>
      <c r="K14" s="30">
        <v>19140.37</v>
      </c>
      <c r="L14" s="30">
        <v>80859.63</v>
      </c>
      <c r="M14" s="30" t="s">
        <v>332</v>
      </c>
      <c r="N14" s="32" t="s">
        <v>19</v>
      </c>
    </row>
    <row r="15" spans="1:15" ht="30" customHeight="1">
      <c r="A15" s="157" t="s">
        <v>33</v>
      </c>
      <c r="B15" s="31" t="s">
        <v>333</v>
      </c>
      <c r="C15" s="31" t="s">
        <v>16</v>
      </c>
      <c r="D15" s="31" t="s">
        <v>334</v>
      </c>
      <c r="E15" s="24">
        <v>44060</v>
      </c>
      <c r="F15" s="30">
        <v>110000</v>
      </c>
      <c r="G15" s="30">
        <v>14457.62</v>
      </c>
      <c r="H15" s="30">
        <v>3157</v>
      </c>
      <c r="I15" s="30">
        <v>3344</v>
      </c>
      <c r="J15" s="31">
        <v>25</v>
      </c>
      <c r="K15" s="30">
        <f>+Tabla4[[#This Row],[ISR
(Ley 11-92)
(1*)]]+Tabla4[[#This Row],[Seguro 
de Pensión 
(2.87%) 
 (2*)]]+Tabla4[[#This Row],[Seguro 
de Salud (3.04%)
 (3*)]]+Tabla4[[#This Row],[Otros 
Descuentos]]</f>
        <v>20983.620000000003</v>
      </c>
      <c r="L15" s="30">
        <f>+Tabla4[[#This Row],[Sueldo Bruto
(RD$)]]-Tabla4[[#This Row],[Total 
de 
Descuento]]</f>
        <v>89016.38</v>
      </c>
      <c r="M15" s="33" t="s">
        <v>326</v>
      </c>
      <c r="N15" s="34" t="s">
        <v>19</v>
      </c>
    </row>
    <row r="16" spans="1:15" ht="30" customHeight="1">
      <c r="A16" s="157" t="s">
        <v>36</v>
      </c>
      <c r="B16" s="31" t="s">
        <v>335</v>
      </c>
      <c r="C16" s="31" t="s">
        <v>16</v>
      </c>
      <c r="D16" s="31" t="s">
        <v>336</v>
      </c>
      <c r="E16" s="24">
        <v>38384</v>
      </c>
      <c r="F16" s="30">
        <v>100000</v>
      </c>
      <c r="G16" s="30">
        <v>12105.37</v>
      </c>
      <c r="H16" s="30">
        <v>2870</v>
      </c>
      <c r="I16" s="30">
        <v>3040</v>
      </c>
      <c r="J16" s="31">
        <v>25</v>
      </c>
      <c r="K16" s="30">
        <v>18040.37</v>
      </c>
      <c r="L16" s="30">
        <v>81959.63</v>
      </c>
      <c r="M16" s="30" t="s">
        <v>337</v>
      </c>
      <c r="N16" s="32" t="s">
        <v>19</v>
      </c>
    </row>
    <row r="17" spans="1:14" ht="30" customHeight="1">
      <c r="A17" s="157" t="s">
        <v>39</v>
      </c>
      <c r="B17" s="31" t="s">
        <v>338</v>
      </c>
      <c r="C17" s="31" t="s">
        <v>16</v>
      </c>
      <c r="D17" s="31" t="s">
        <v>22</v>
      </c>
      <c r="E17" s="24">
        <v>44205</v>
      </c>
      <c r="F17" s="30">
        <v>80000</v>
      </c>
      <c r="G17" s="30">
        <v>7400.87</v>
      </c>
      <c r="H17" s="30">
        <v>2296</v>
      </c>
      <c r="I17" s="30">
        <v>2432</v>
      </c>
      <c r="J17" s="31">
        <v>25</v>
      </c>
      <c r="K17" s="30">
        <f>+Tabla4[[#This Row],[ISR
(Ley 11-92)
(1*)]]+Tabla4[[#This Row],[Seguro 
de Pensión 
(2.87%) 
 (2*)]]+Tabla4[[#This Row],[Seguro 
de Salud (3.04%)
 (3*)]]+Tabla4[[#This Row],[Otros 
Descuentos]]</f>
        <v>12153.869999999999</v>
      </c>
      <c r="L17" s="30">
        <f>+Tabla4[[#This Row],[Sueldo Bruto
(RD$)]]-Tabla4[[#This Row],[Total 
de 
Descuento]]</f>
        <v>67846.13</v>
      </c>
      <c r="M17" s="30" t="s">
        <v>337</v>
      </c>
      <c r="N17" s="32" t="s">
        <v>19</v>
      </c>
    </row>
    <row r="18" spans="1:14" ht="30" customHeight="1">
      <c r="A18" s="157" t="s">
        <v>41</v>
      </c>
      <c r="B18" s="31" t="s">
        <v>339</v>
      </c>
      <c r="C18" s="31" t="s">
        <v>16</v>
      </c>
      <c r="D18" s="31" t="s">
        <v>22</v>
      </c>
      <c r="E18" s="24">
        <v>43010</v>
      </c>
      <c r="F18" s="30">
        <v>80000</v>
      </c>
      <c r="G18" s="30">
        <v>7400.87</v>
      </c>
      <c r="H18" s="30">
        <v>2296</v>
      </c>
      <c r="I18" s="30">
        <v>2432</v>
      </c>
      <c r="J18" s="31">
        <v>25</v>
      </c>
      <c r="K18" s="30">
        <f>+Tabla4[[#This Row],[ISR
(Ley 11-92)
(1*)]]+Tabla4[[#This Row],[Seguro 
de Pensión 
(2.87%) 
 (2*)]]+Tabla4[[#This Row],[Seguro 
de Salud (3.04%)
 (3*)]]+Tabla4[[#This Row],[Otros 
Descuentos]]</f>
        <v>12153.869999999999</v>
      </c>
      <c r="L18" s="30">
        <f>+Tabla4[[#This Row],[Sueldo Bruto
(RD$)]]-Tabla4[[#This Row],[Total 
de 
Descuento]]</f>
        <v>67846.13</v>
      </c>
      <c r="M18" s="30" t="s">
        <v>332</v>
      </c>
      <c r="N18" s="32" t="s">
        <v>19</v>
      </c>
    </row>
    <row r="19" spans="1:14" ht="30" customHeight="1">
      <c r="A19" s="157" t="s">
        <v>44</v>
      </c>
      <c r="B19" s="31" t="s">
        <v>571</v>
      </c>
      <c r="C19" s="31" t="s">
        <v>16</v>
      </c>
      <c r="D19" s="31" t="s">
        <v>22</v>
      </c>
      <c r="E19" s="24">
        <v>44725</v>
      </c>
      <c r="F19" s="30">
        <v>80000</v>
      </c>
      <c r="G19" s="30">
        <v>7400.87</v>
      </c>
      <c r="H19" s="30">
        <v>2296</v>
      </c>
      <c r="I19" s="30">
        <v>2432</v>
      </c>
      <c r="J19" s="31">
        <v>25</v>
      </c>
      <c r="K19" s="30">
        <f>+Tabla4[[#This Row],[ISR
(Ley 11-92)
(1*)]]+Tabla4[[#This Row],[Seguro 
de Pensión 
(2.87%) 
 (2*)]]+Tabla4[[#This Row],[Seguro 
de Salud (3.04%)
 (3*)]]+Tabla4[[#This Row],[Otros 
Descuentos]]</f>
        <v>12153.869999999999</v>
      </c>
      <c r="L19" s="30">
        <f>+Tabla4[[#This Row],[Sueldo Bruto
(RD$)]]-Tabla4[[#This Row],[Total 
de 
Descuento]]</f>
        <v>67846.13</v>
      </c>
      <c r="M19" s="30" t="s">
        <v>337</v>
      </c>
      <c r="N19" s="32" t="s">
        <v>19</v>
      </c>
    </row>
    <row r="20" spans="1:14" ht="30" customHeight="1">
      <c r="A20" s="157" t="s">
        <v>48</v>
      </c>
      <c r="B20" s="31" t="s">
        <v>340</v>
      </c>
      <c r="C20" s="31" t="s">
        <v>16</v>
      </c>
      <c r="D20" s="31" t="s">
        <v>341</v>
      </c>
      <c r="E20" s="24">
        <v>44641</v>
      </c>
      <c r="F20" s="30">
        <v>42000</v>
      </c>
      <c r="G20" s="30">
        <v>724.92</v>
      </c>
      <c r="H20" s="30">
        <v>1205.4000000000001</v>
      </c>
      <c r="I20" s="30">
        <v>1276.8</v>
      </c>
      <c r="J20" s="91">
        <v>5025</v>
      </c>
      <c r="K20" s="30">
        <f>+Tabla4[[#This Row],[ISR
(Ley 11-92)
(1*)]]+Tabla4[[#This Row],[Seguro 
de Pensión 
(2.87%) 
 (2*)]]+Tabla4[[#This Row],[Seguro 
de Salud (3.04%)
 (3*)]]+Tabla4[[#This Row],[Otros 
Descuentos]]</f>
        <v>8232.119999999999</v>
      </c>
      <c r="L20" s="30">
        <f>+Tabla4[[#This Row],[Sueldo Bruto
(RD$)]]-Tabla4[[#This Row],[Total 
de 
Descuento]]</f>
        <v>33767.880000000005</v>
      </c>
      <c r="M20" s="30" t="s">
        <v>326</v>
      </c>
      <c r="N20" s="32" t="s">
        <v>19</v>
      </c>
    </row>
    <row r="21" spans="1:14" ht="30" customHeight="1">
      <c r="A21" s="157" t="s">
        <v>50</v>
      </c>
      <c r="B21" s="31" t="s">
        <v>342</v>
      </c>
      <c r="C21" s="31" t="s">
        <v>16</v>
      </c>
      <c r="D21" s="31" t="s">
        <v>341</v>
      </c>
      <c r="E21" s="24">
        <v>41153</v>
      </c>
      <c r="F21" s="30">
        <v>65000</v>
      </c>
      <c r="G21" s="30">
        <v>4125.09</v>
      </c>
      <c r="H21" s="30">
        <v>1865.5</v>
      </c>
      <c r="I21" s="30">
        <v>1976</v>
      </c>
      <c r="J21" s="30">
        <v>1637.45</v>
      </c>
      <c r="K21" s="30">
        <f>+Tabla4[[#This Row],[ISR
(Ley 11-92)
(1*)]]+Tabla4[[#This Row],[Seguro 
de Pensión 
(2.87%) 
 (2*)]]+Tabla4[[#This Row],[Seguro 
de Salud (3.04%)
 (3*)]]+Tabla4[[#This Row],[Otros 
Descuentos]]</f>
        <v>9604.0400000000009</v>
      </c>
      <c r="L21" s="30">
        <f>+Tabla4[[#This Row],[Sueldo Bruto
(RD$)]]-Tabla4[[#This Row],[Total 
de 
Descuento]]</f>
        <v>55395.96</v>
      </c>
      <c r="M21" s="31" t="s">
        <v>332</v>
      </c>
      <c r="N21" s="35" t="s">
        <v>19</v>
      </c>
    </row>
    <row r="22" spans="1:14" ht="30" customHeight="1">
      <c r="A22" s="157" t="s">
        <v>52</v>
      </c>
      <c r="B22" s="31" t="s">
        <v>343</v>
      </c>
      <c r="C22" s="31" t="s">
        <v>16</v>
      </c>
      <c r="D22" s="31" t="s">
        <v>344</v>
      </c>
      <c r="E22" s="24">
        <v>43040</v>
      </c>
      <c r="F22" s="30">
        <v>42000</v>
      </c>
      <c r="G22" s="30">
        <v>0</v>
      </c>
      <c r="H22" s="30">
        <v>1205.4000000000001</v>
      </c>
      <c r="I22" s="30">
        <v>1276.8</v>
      </c>
      <c r="J22" s="30">
        <v>1637.45</v>
      </c>
      <c r="K22" s="30">
        <f>+Tabla4[[#This Row],[ISR
(Ley 11-92)
(1*)]]+Tabla4[[#This Row],[Seguro 
de Pensión 
(2.87%) 
 (2*)]]+Tabla4[[#This Row],[Seguro 
de Salud (3.04%)
 (3*)]]+Tabla4[[#This Row],[Otros 
Descuentos]]</f>
        <v>4119.6499999999996</v>
      </c>
      <c r="L22" s="30">
        <f>+Tabla4[[#This Row],[Sueldo Bruto
(RD$)]]-Tabla4[[#This Row],[Total 
de 
Descuento]]</f>
        <v>37880.35</v>
      </c>
      <c r="M22" s="31" t="s">
        <v>332</v>
      </c>
      <c r="N22" s="35" t="s">
        <v>19</v>
      </c>
    </row>
    <row r="23" spans="1:14" ht="30" customHeight="1">
      <c r="A23" s="157" t="s">
        <v>56</v>
      </c>
      <c r="B23" s="31" t="s">
        <v>346</v>
      </c>
      <c r="C23" s="31" t="s">
        <v>16</v>
      </c>
      <c r="D23" s="31" t="s">
        <v>345</v>
      </c>
      <c r="E23" s="24">
        <v>44067</v>
      </c>
      <c r="F23" s="30">
        <v>50000</v>
      </c>
      <c r="G23" s="30">
        <v>1854</v>
      </c>
      <c r="H23" s="30">
        <v>1435</v>
      </c>
      <c r="I23" s="30">
        <v>1520</v>
      </c>
      <c r="J23" s="31">
        <v>125</v>
      </c>
      <c r="K23" s="30">
        <v>4934</v>
      </c>
      <c r="L23" s="30">
        <v>45066</v>
      </c>
      <c r="M23" s="30" t="s">
        <v>326</v>
      </c>
      <c r="N23" s="32" t="s">
        <v>19</v>
      </c>
    </row>
    <row r="24" spans="1:14" ht="30" customHeight="1">
      <c r="A24" s="157" t="s">
        <v>58</v>
      </c>
      <c r="B24" s="31" t="s">
        <v>347</v>
      </c>
      <c r="C24" s="31" t="s">
        <v>16</v>
      </c>
      <c r="D24" s="31" t="s">
        <v>348</v>
      </c>
      <c r="E24" s="24">
        <v>44060</v>
      </c>
      <c r="F24" s="30">
        <v>30000</v>
      </c>
      <c r="G24" s="30">
        <v>0</v>
      </c>
      <c r="H24" s="30">
        <v>861</v>
      </c>
      <c r="I24" s="30">
        <v>912</v>
      </c>
      <c r="J24" s="31">
        <v>125</v>
      </c>
      <c r="K24" s="30">
        <v>1898</v>
      </c>
      <c r="L24" s="30">
        <v>28102</v>
      </c>
      <c r="M24" s="30" t="s">
        <v>326</v>
      </c>
      <c r="N24" s="32" t="s">
        <v>35</v>
      </c>
    </row>
    <row r="25" spans="1:14" s="94" customFormat="1" ht="30" customHeight="1">
      <c r="A25" s="157" t="s">
        <v>60</v>
      </c>
      <c r="B25" s="92" t="s">
        <v>349</v>
      </c>
      <c r="C25" s="92" t="s">
        <v>46</v>
      </c>
      <c r="D25" s="92" t="s">
        <v>350</v>
      </c>
      <c r="E25" s="29">
        <v>42653</v>
      </c>
      <c r="F25" s="93">
        <v>65000</v>
      </c>
      <c r="G25" s="114">
        <v>4427.58</v>
      </c>
      <c r="H25" s="93">
        <v>1865.5</v>
      </c>
      <c r="I25" s="93">
        <v>1976</v>
      </c>
      <c r="J25" s="92">
        <v>125</v>
      </c>
      <c r="K25" s="93">
        <f>+Tabla4[[#This Row],[ISR
(Ley 11-92)
(1*)]]+Tabla4[[#This Row],[Seguro 
de Pensión 
(2.87%) 
 (2*)]]+Tabla4[[#This Row],[Seguro 
de Salud (3.04%)
 (3*)]]+Tabla4[[#This Row],[Otros 
Descuentos]]</f>
        <v>8394.08</v>
      </c>
      <c r="L25" s="93">
        <f>+Tabla4[[#This Row],[Sueldo Bruto
(RD$)]]-Tabla4[[#This Row],[Total 
de 
Descuento]]</f>
        <v>56605.919999999998</v>
      </c>
      <c r="M25" s="92" t="s">
        <v>332</v>
      </c>
      <c r="N25" s="96" t="s">
        <v>19</v>
      </c>
    </row>
    <row r="26" spans="1:14" ht="30" customHeight="1">
      <c r="A26" s="157" t="s">
        <v>62</v>
      </c>
      <c r="B26" s="31" t="s">
        <v>351</v>
      </c>
      <c r="C26" s="31" t="s">
        <v>46</v>
      </c>
      <c r="D26" s="31" t="s">
        <v>352</v>
      </c>
      <c r="E26" s="25">
        <v>42401</v>
      </c>
      <c r="F26" s="30">
        <v>45000</v>
      </c>
      <c r="G26" s="30">
        <v>1148.33</v>
      </c>
      <c r="H26" s="30">
        <v>1291.5</v>
      </c>
      <c r="I26" s="30">
        <v>1368</v>
      </c>
      <c r="J26" s="30">
        <v>7110.39</v>
      </c>
      <c r="K26" s="30">
        <f>+Tabla4[[#This Row],[ISR
(Ley 11-92)
(1*)]]+Tabla4[[#This Row],[Seguro 
de Pensión 
(2.87%) 
 (2*)]]+Tabla4[[#This Row],[Seguro 
de Salud (3.04%)
 (3*)]]+Tabla4[[#This Row],[Otros 
Descuentos]]</f>
        <v>10918.220000000001</v>
      </c>
      <c r="L26" s="30">
        <f>+Tabla4[[#This Row],[Sueldo Bruto
(RD$)]]-Tabla4[[#This Row],[Total 
de 
Descuento]]</f>
        <v>34081.78</v>
      </c>
      <c r="M26" s="31" t="s">
        <v>332</v>
      </c>
      <c r="N26" s="32" t="s">
        <v>35</v>
      </c>
    </row>
    <row r="27" spans="1:14" ht="30" customHeight="1">
      <c r="A27" s="157" t="s">
        <v>65</v>
      </c>
      <c r="B27" s="31" t="s">
        <v>353</v>
      </c>
      <c r="C27" s="31" t="s">
        <v>46</v>
      </c>
      <c r="D27" s="31" t="s">
        <v>352</v>
      </c>
      <c r="E27" s="25">
        <v>44102</v>
      </c>
      <c r="F27" s="30">
        <v>45000</v>
      </c>
      <c r="G27" s="31">
        <v>921.46</v>
      </c>
      <c r="H27" s="30">
        <v>1291.5</v>
      </c>
      <c r="I27" s="30">
        <v>1368</v>
      </c>
      <c r="J27" s="30">
        <v>1537.45</v>
      </c>
      <c r="K27" s="30">
        <f>+Tabla4[[#This Row],[ISR
(Ley 11-92)
(1*)]]+Tabla4[[#This Row],[Seguro 
de Pensión 
(2.87%) 
 (2*)]]+Tabla4[[#This Row],[Seguro 
de Salud (3.04%)
 (3*)]]+Tabla4[[#This Row],[Otros 
Descuentos]]</f>
        <v>5118.41</v>
      </c>
      <c r="L27" s="30">
        <f>+Tabla4[[#This Row],[Sueldo Bruto
(RD$)]]-Tabla4[[#This Row],[Total 
de 
Descuento]]</f>
        <v>39881.589999999997</v>
      </c>
      <c r="M27" s="31" t="s">
        <v>332</v>
      </c>
      <c r="N27" s="32" t="s">
        <v>35</v>
      </c>
    </row>
    <row r="28" spans="1:14" ht="30" customHeight="1">
      <c r="A28" s="157" t="s">
        <v>68</v>
      </c>
      <c r="B28" s="31" t="s">
        <v>354</v>
      </c>
      <c r="C28" s="31" t="s">
        <v>46</v>
      </c>
      <c r="D28" s="31" t="s">
        <v>355</v>
      </c>
      <c r="E28" s="25">
        <v>42552</v>
      </c>
      <c r="F28" s="30">
        <v>60000</v>
      </c>
      <c r="G28" s="91">
        <v>3184.19</v>
      </c>
      <c r="H28" s="30">
        <v>1722</v>
      </c>
      <c r="I28" s="30">
        <v>1824</v>
      </c>
      <c r="J28" s="30">
        <v>1637.45</v>
      </c>
      <c r="K28" s="30">
        <f>+Tabla4[[#This Row],[ISR
(Ley 11-92)
(1*)]]+Tabla4[[#This Row],[Seguro 
de Pensión 
(2.87%) 
 (2*)]]+Tabla4[[#This Row],[Seguro 
de Salud (3.04%)
 (3*)]]+Tabla4[[#This Row],[Otros 
Descuentos]]</f>
        <v>8367.6400000000012</v>
      </c>
      <c r="L28" s="30">
        <f>+Tabla4[[#This Row],[Sueldo Bruto
(RD$)]]-Tabla4[[#This Row],[Total 
de 
Descuento]]</f>
        <v>51632.36</v>
      </c>
      <c r="M28" s="31" t="s">
        <v>332</v>
      </c>
      <c r="N28" s="32" t="s">
        <v>35</v>
      </c>
    </row>
    <row r="29" spans="1:14" ht="30" customHeight="1">
      <c r="A29" s="157" t="s">
        <v>70</v>
      </c>
      <c r="B29" s="31" t="s">
        <v>572</v>
      </c>
      <c r="C29" s="31" t="s">
        <v>46</v>
      </c>
      <c r="D29" s="95" t="s">
        <v>355</v>
      </c>
      <c r="E29" s="25">
        <v>44725</v>
      </c>
      <c r="F29" s="30">
        <v>50000</v>
      </c>
      <c r="G29" s="91">
        <v>1400.27</v>
      </c>
      <c r="H29" s="30">
        <v>1435</v>
      </c>
      <c r="I29" s="30">
        <v>1520</v>
      </c>
      <c r="J29" s="30">
        <v>3049.9</v>
      </c>
      <c r="K29" s="30">
        <f>+Tabla4[[#This Row],[ISR
(Ley 11-92)
(1*)]]+Tabla4[[#This Row],[Seguro 
de Pensión 
(2.87%) 
 (2*)]]+Tabla4[[#This Row],[Seguro 
de Salud (3.04%)
 (3*)]]+Tabla4[[#This Row],[Otros 
Descuentos]]</f>
        <v>7405.17</v>
      </c>
      <c r="L29" s="30">
        <f>+Tabla4[[#This Row],[Sueldo Bruto
(RD$)]]-Tabla4[[#This Row],[Total 
de 
Descuento]]</f>
        <v>42594.83</v>
      </c>
      <c r="M29" s="31" t="s">
        <v>332</v>
      </c>
      <c r="N29" s="32" t="s">
        <v>19</v>
      </c>
    </row>
    <row r="30" spans="1:14" ht="30" customHeight="1">
      <c r="A30" s="157" t="s">
        <v>73</v>
      </c>
      <c r="B30" s="31" t="s">
        <v>356</v>
      </c>
      <c r="C30" s="31" t="s">
        <v>46</v>
      </c>
      <c r="D30" s="31" t="s">
        <v>345</v>
      </c>
      <c r="E30" s="25">
        <v>44116</v>
      </c>
      <c r="F30" s="30">
        <v>30000</v>
      </c>
      <c r="G30" s="31">
        <v>0</v>
      </c>
      <c r="H30" s="31">
        <v>861</v>
      </c>
      <c r="I30" s="31">
        <v>912</v>
      </c>
      <c r="J30" s="30">
        <v>5129.47</v>
      </c>
      <c r="K30" s="30">
        <f>+Tabla4[[#This Row],[ISR
(Ley 11-92)
(1*)]]+Tabla4[[#This Row],[Seguro 
de Pensión 
(2.87%) 
 (2*)]]+Tabla4[[#This Row],[Seguro 
de Salud (3.04%)
 (3*)]]+Tabla4[[#This Row],[Otros 
Descuentos]]</f>
        <v>6902.47</v>
      </c>
      <c r="L30" s="30">
        <f>+Tabla4[[#This Row],[Sueldo Bruto
(RD$)]]-Tabla4[[#This Row],[Total 
de 
Descuento]]</f>
        <v>23097.53</v>
      </c>
      <c r="M30" s="31" t="s">
        <v>332</v>
      </c>
      <c r="N30" s="32" t="s">
        <v>19</v>
      </c>
    </row>
    <row r="31" spans="1:14" ht="30" customHeight="1">
      <c r="A31" s="157" t="s">
        <v>74</v>
      </c>
      <c r="B31" s="31" t="s">
        <v>357</v>
      </c>
      <c r="C31" s="31" t="s">
        <v>54</v>
      </c>
      <c r="D31" s="31" t="s">
        <v>38</v>
      </c>
      <c r="E31" s="25">
        <v>42036</v>
      </c>
      <c r="F31" s="30">
        <v>100000</v>
      </c>
      <c r="G31" s="30">
        <v>12105.37</v>
      </c>
      <c r="H31" s="30">
        <v>2870</v>
      </c>
      <c r="I31" s="30">
        <v>3040</v>
      </c>
      <c r="J31" s="30">
        <v>1025</v>
      </c>
      <c r="K31" s="30">
        <f>+Tabla4[[#This Row],[ISR
(Ley 11-92)
(1*)]]+Tabla4[[#This Row],[Seguro 
de Pensión 
(2.87%) 
 (2*)]]+Tabla4[[#This Row],[Seguro 
de Salud (3.04%)
 (3*)]]+Tabla4[[#This Row],[Otros 
Descuentos]]</f>
        <v>19040.370000000003</v>
      </c>
      <c r="L31" s="30">
        <f>+Tabla4[[#This Row],[Sueldo Bruto
(RD$)]]-Tabla4[[#This Row],[Total 
de 
Descuento]]</f>
        <v>80959.63</v>
      </c>
      <c r="M31" s="31" t="s">
        <v>332</v>
      </c>
      <c r="N31" s="32" t="s">
        <v>19</v>
      </c>
    </row>
    <row r="32" spans="1:14" ht="30" customHeight="1">
      <c r="A32" s="157" t="s">
        <v>77</v>
      </c>
      <c r="B32" s="31" t="s">
        <v>358</v>
      </c>
      <c r="C32" s="31" t="s">
        <v>61</v>
      </c>
      <c r="D32" s="31" t="s">
        <v>17</v>
      </c>
      <c r="E32" s="25">
        <v>43038</v>
      </c>
      <c r="F32" s="30">
        <v>100000</v>
      </c>
      <c r="G32" s="30">
        <v>11727.26</v>
      </c>
      <c r="H32" s="30">
        <v>2870</v>
      </c>
      <c r="I32" s="30">
        <v>3040</v>
      </c>
      <c r="J32" s="91">
        <v>1537.45</v>
      </c>
      <c r="K32" s="30">
        <f>+Tabla4[[#This Row],[ISR
(Ley 11-92)
(1*)]]+Tabla4[[#This Row],[Seguro 
de Pensión 
(2.87%) 
 (2*)]]+Tabla4[[#This Row],[Seguro 
de Salud (3.04%)
 (3*)]]+Tabla4[[#This Row],[Otros 
Descuentos]]</f>
        <v>19174.710000000003</v>
      </c>
      <c r="L32" s="30">
        <f>+Tabla4[[#This Row],[Sueldo Bruto
(RD$)]]-Tabla4[[#This Row],[Total 
de 
Descuento]]</f>
        <v>80825.289999999994</v>
      </c>
      <c r="M32" s="31" t="s">
        <v>332</v>
      </c>
      <c r="N32" s="32" t="s">
        <v>35</v>
      </c>
    </row>
    <row r="33" spans="1:14" ht="30" customHeight="1">
      <c r="A33" s="157" t="s">
        <v>79</v>
      </c>
      <c r="B33" s="31" t="s">
        <v>359</v>
      </c>
      <c r="C33" s="31" t="s">
        <v>61</v>
      </c>
      <c r="D33" s="31" t="s">
        <v>360</v>
      </c>
      <c r="E33" s="25">
        <v>39234</v>
      </c>
      <c r="F33" s="30">
        <v>100000</v>
      </c>
      <c r="G33" s="30">
        <v>11727.26</v>
      </c>
      <c r="H33" s="30">
        <v>2870</v>
      </c>
      <c r="I33" s="30">
        <v>3040</v>
      </c>
      <c r="J33" s="30">
        <v>1537.45</v>
      </c>
      <c r="K33" s="30">
        <f>+Tabla4[[#This Row],[ISR
(Ley 11-92)
(1*)]]+Tabla4[[#This Row],[Seguro 
de Pensión 
(2.87%) 
 (2*)]]+Tabla4[[#This Row],[Seguro 
de Salud (3.04%)
 (3*)]]+Tabla4[[#This Row],[Otros 
Descuentos]]</f>
        <v>19174.710000000003</v>
      </c>
      <c r="L33" s="30">
        <f>+Tabla4[[#This Row],[Sueldo Bruto
(RD$)]]-Tabla4[[#This Row],[Total 
de 
Descuento]]</f>
        <v>80825.289999999994</v>
      </c>
      <c r="M33" s="30" t="s">
        <v>337</v>
      </c>
      <c r="N33" s="32" t="s">
        <v>35</v>
      </c>
    </row>
    <row r="34" spans="1:14" ht="30" customHeight="1">
      <c r="A34" s="157" t="s">
        <v>81</v>
      </c>
      <c r="B34" s="31" t="s">
        <v>361</v>
      </c>
      <c r="C34" s="31" t="s">
        <v>61</v>
      </c>
      <c r="D34" s="31" t="s">
        <v>362</v>
      </c>
      <c r="E34" s="25">
        <v>41061</v>
      </c>
      <c r="F34" s="30">
        <v>90000</v>
      </c>
      <c r="G34" s="30">
        <v>9375.01</v>
      </c>
      <c r="H34" s="30">
        <v>2583</v>
      </c>
      <c r="I34" s="30">
        <v>2736</v>
      </c>
      <c r="J34" s="30">
        <v>2112.29</v>
      </c>
      <c r="K34" s="30">
        <f>+Tabla4[[#This Row],[ISR
(Ley 11-92)
(1*)]]+Tabla4[[#This Row],[Seguro 
de Pensión 
(2.87%) 
 (2*)]]+Tabla4[[#This Row],[Seguro 
de Salud (3.04%)
 (3*)]]+Tabla4[[#This Row],[Otros 
Descuentos]]</f>
        <v>16806.3</v>
      </c>
      <c r="L34" s="30">
        <f>+Tabla4[[#This Row],[Sueldo Bruto
(RD$)]]-Tabla4[[#This Row],[Total 
de 
Descuento]]</f>
        <v>73193.7</v>
      </c>
      <c r="M34" s="30" t="s">
        <v>332</v>
      </c>
      <c r="N34" s="32" t="s">
        <v>35</v>
      </c>
    </row>
    <row r="35" spans="1:14" ht="30" customHeight="1">
      <c r="A35" s="157" t="s">
        <v>84</v>
      </c>
      <c r="B35" s="31" t="s">
        <v>363</v>
      </c>
      <c r="C35" s="31" t="s">
        <v>61</v>
      </c>
      <c r="D35" s="31" t="s">
        <v>573</v>
      </c>
      <c r="E35" s="25">
        <v>41276</v>
      </c>
      <c r="F35" s="30">
        <v>75000</v>
      </c>
      <c r="G35" s="91">
        <v>6006.89</v>
      </c>
      <c r="H35" s="30">
        <v>2152.5</v>
      </c>
      <c r="I35" s="30">
        <v>2280</v>
      </c>
      <c r="J35" s="30">
        <v>3537.45</v>
      </c>
      <c r="K35" s="30">
        <f>+Tabla4[[#This Row],[ISR
(Ley 11-92)
(1*)]]+Tabla4[[#This Row],[Seguro 
de Pensión 
(2.87%) 
 (2*)]]+Tabla4[[#This Row],[Seguro 
de Salud (3.04%)
 (3*)]]+Tabla4[[#This Row],[Otros 
Descuentos]]</f>
        <v>13976.84</v>
      </c>
      <c r="L35" s="30">
        <f>+Tabla4[[#This Row],[Sueldo Bruto
(RD$)]]-Tabla4[[#This Row],[Total 
de 
Descuento]]</f>
        <v>61023.16</v>
      </c>
      <c r="M35" s="30" t="s">
        <v>332</v>
      </c>
      <c r="N35" s="32" t="s">
        <v>35</v>
      </c>
    </row>
    <row r="36" spans="1:14" ht="30" customHeight="1">
      <c r="A36" s="157" t="s">
        <v>87</v>
      </c>
      <c r="B36" s="31" t="s">
        <v>364</v>
      </c>
      <c r="C36" s="31" t="s">
        <v>61</v>
      </c>
      <c r="D36" s="31" t="s">
        <v>97</v>
      </c>
      <c r="E36" s="25">
        <v>42461</v>
      </c>
      <c r="F36" s="30">
        <v>60000</v>
      </c>
      <c r="G36" s="91">
        <v>3486.68</v>
      </c>
      <c r="H36" s="30">
        <v>1722</v>
      </c>
      <c r="I36" s="30">
        <v>1824</v>
      </c>
      <c r="J36" s="31">
        <v>125</v>
      </c>
      <c r="K36" s="30">
        <f>+Tabla4[[#This Row],[Seguro 
de Pensión 
(2.87%) 
 (2*)]]+Tabla4[[#This Row],[Seguro 
de Salud (3.04%)
 (3*)]]+Tabla4[[#This Row],[ISR
(Ley 11-92)
(1*)]]+Tabla4[[#This Row],[Otros 
Descuentos]]</f>
        <v>7157.68</v>
      </c>
      <c r="L36" s="30">
        <f>+Tabla4[[#This Row],[Sueldo Bruto
(RD$)]]-Tabla4[[#This Row],[Total 
de 
Descuento]]</f>
        <v>52842.32</v>
      </c>
      <c r="M36" s="30" t="s">
        <v>337</v>
      </c>
      <c r="N36" s="32" t="s">
        <v>35</v>
      </c>
    </row>
    <row r="37" spans="1:14" ht="30" customHeight="1">
      <c r="A37" s="157" t="s">
        <v>90</v>
      </c>
      <c r="B37" s="31" t="s">
        <v>365</v>
      </c>
      <c r="C37" s="31" t="s">
        <v>61</v>
      </c>
      <c r="D37" s="31" t="s">
        <v>101</v>
      </c>
      <c r="E37" s="25">
        <v>39295</v>
      </c>
      <c r="F37" s="30">
        <v>55000</v>
      </c>
      <c r="G37" s="91">
        <v>2559.6799999999998</v>
      </c>
      <c r="H37" s="30">
        <f>+Tabla4[[#This Row],[Sueldo Bruto
(RD$)]]*0.0287</f>
        <v>1578.5</v>
      </c>
      <c r="I37" s="30">
        <f>+Tabla4[[#This Row],[Sueldo Bruto
(RD$)]]*0.0304</f>
        <v>1672</v>
      </c>
      <c r="J37" s="31">
        <v>25</v>
      </c>
      <c r="K37" s="30">
        <f>+Tabla4[[#This Row],[ISR
(Ley 11-92)
(1*)]]+Tabla4[[#This Row],[Seguro 
de Pensión 
(2.87%) 
 (2*)]]+Tabla4[[#This Row],[Seguro 
de Salud (3.04%)
 (3*)]]+Tabla4[[#This Row],[Otros 
Descuentos]]</f>
        <v>5835.18</v>
      </c>
      <c r="L37" s="30">
        <f>+Tabla4[[#This Row],[Sueldo Bruto
(RD$)]]-Tabla4[[#This Row],[Total 
de 
Descuento]]</f>
        <v>49164.82</v>
      </c>
      <c r="M37" s="30" t="s">
        <v>332</v>
      </c>
      <c r="N37" s="32" t="s">
        <v>35</v>
      </c>
    </row>
    <row r="38" spans="1:14" ht="30" customHeight="1">
      <c r="A38" s="157" t="s">
        <v>92</v>
      </c>
      <c r="B38" s="31" t="s">
        <v>366</v>
      </c>
      <c r="C38" s="31" t="s">
        <v>61</v>
      </c>
      <c r="D38" s="31" t="s">
        <v>101</v>
      </c>
      <c r="E38" s="25">
        <v>43374</v>
      </c>
      <c r="F38" s="30">
        <v>42000</v>
      </c>
      <c r="G38" s="31">
        <v>0</v>
      </c>
      <c r="H38" s="30">
        <v>1205.4000000000001</v>
      </c>
      <c r="I38" s="30">
        <v>1276.8</v>
      </c>
      <c r="J38" s="31">
        <v>25</v>
      </c>
      <c r="K38" s="30">
        <f>+Tabla4[[#This Row],[ISR
(Ley 11-92)
(1*)]]+Tabla4[[#This Row],[Seguro 
de Pensión 
(2.87%) 
 (2*)]]+Tabla4[[#This Row],[Seguro 
de Salud (3.04%)
 (3*)]]+Tabla4[[#This Row],[Otros 
Descuentos]]</f>
        <v>2507.1999999999998</v>
      </c>
      <c r="L38" s="30">
        <f>+Tabla4[[#This Row],[Sueldo Bruto
(RD$)]]-Tabla4[[#This Row],[Total 
de 
Descuento]]</f>
        <v>39492.800000000003</v>
      </c>
      <c r="M38" s="30" t="s">
        <v>337</v>
      </c>
      <c r="N38" s="32" t="s">
        <v>35</v>
      </c>
    </row>
    <row r="39" spans="1:14" ht="30" customHeight="1">
      <c r="A39" s="157" t="s">
        <v>95</v>
      </c>
      <c r="B39" s="31" t="s">
        <v>367</v>
      </c>
      <c r="C39" s="31" t="s">
        <v>61</v>
      </c>
      <c r="D39" s="31" t="s">
        <v>101</v>
      </c>
      <c r="E39" s="25">
        <v>42309</v>
      </c>
      <c r="F39" s="30">
        <v>55000</v>
      </c>
      <c r="G39" s="31">
        <v>0</v>
      </c>
      <c r="H39" s="30">
        <v>1578.5</v>
      </c>
      <c r="I39" s="30">
        <v>1672</v>
      </c>
      <c r="J39" s="30">
        <v>5025</v>
      </c>
      <c r="K39" s="30">
        <f>+Tabla4[[#This Row],[ISR
(Ley 11-92)
(1*)]]+Tabla4[[#This Row],[Seguro 
de Pensión 
(2.87%) 
 (2*)]]+Tabla4[[#This Row],[Seguro 
de Salud (3.04%)
 (3*)]]+Tabla4[[#This Row],[Otros 
Descuentos]]</f>
        <v>8275.5</v>
      </c>
      <c r="L39" s="30">
        <f>+Tabla4[[#This Row],[Sueldo Bruto
(RD$)]]-Tabla4[[#This Row],[Total 
de 
Descuento]]</f>
        <v>46724.5</v>
      </c>
      <c r="M39" s="30" t="s">
        <v>332</v>
      </c>
      <c r="N39" s="32" t="s">
        <v>35</v>
      </c>
    </row>
    <row r="40" spans="1:14" ht="30" customHeight="1">
      <c r="A40" s="157" t="s">
        <v>98</v>
      </c>
      <c r="B40" s="31" t="s">
        <v>368</v>
      </c>
      <c r="C40" s="31" t="s">
        <v>61</v>
      </c>
      <c r="D40" s="31" t="s">
        <v>369</v>
      </c>
      <c r="E40" s="25">
        <v>44319</v>
      </c>
      <c r="F40" s="30">
        <v>30000</v>
      </c>
      <c r="G40" s="31">
        <v>0</v>
      </c>
      <c r="H40" s="31">
        <v>861</v>
      </c>
      <c r="I40" s="31">
        <v>912</v>
      </c>
      <c r="J40" s="31">
        <v>25</v>
      </c>
      <c r="K40" s="30">
        <v>1798</v>
      </c>
      <c r="L40" s="30">
        <v>28202</v>
      </c>
      <c r="M40" s="30" t="s">
        <v>332</v>
      </c>
      <c r="N40" s="32" t="s">
        <v>19</v>
      </c>
    </row>
    <row r="41" spans="1:14" s="94" customFormat="1" ht="30" customHeight="1">
      <c r="A41" s="157" t="s">
        <v>99</v>
      </c>
      <c r="B41" s="92" t="s">
        <v>370</v>
      </c>
      <c r="C41" s="92" t="s">
        <v>104</v>
      </c>
      <c r="D41" s="92" t="s">
        <v>371</v>
      </c>
      <c r="E41" s="29">
        <v>44623</v>
      </c>
      <c r="F41" s="93">
        <v>90000</v>
      </c>
      <c r="G41" s="93">
        <v>8996.89</v>
      </c>
      <c r="H41" s="93">
        <v>2583</v>
      </c>
      <c r="I41" s="93">
        <v>2736</v>
      </c>
      <c r="J41" s="93">
        <v>3149.9</v>
      </c>
      <c r="K41" s="93">
        <v>17465.79</v>
      </c>
      <c r="L41" s="93">
        <v>72534.210000000006</v>
      </c>
      <c r="M41" s="93" t="s">
        <v>337</v>
      </c>
      <c r="N41" s="96" t="s">
        <v>19</v>
      </c>
    </row>
    <row r="42" spans="1:14" ht="30" customHeight="1">
      <c r="A42" s="157" t="s">
        <v>102</v>
      </c>
      <c r="B42" s="31" t="s">
        <v>372</v>
      </c>
      <c r="C42" s="31" t="s">
        <v>104</v>
      </c>
      <c r="D42" s="31" t="s">
        <v>117</v>
      </c>
      <c r="E42" s="25">
        <v>43038</v>
      </c>
      <c r="F42" s="30">
        <v>70000</v>
      </c>
      <c r="G42" s="91">
        <v>4763.5</v>
      </c>
      <c r="H42" s="30">
        <v>2009</v>
      </c>
      <c r="I42" s="30">
        <v>2128</v>
      </c>
      <c r="J42" s="30">
        <v>5349.26</v>
      </c>
      <c r="K42" s="30">
        <f>+Tabla4[[#This Row],[ISR
(Ley 11-92)
(1*)]]+Tabla4[[#This Row],[Seguro 
de Pensión 
(2.87%) 
 (2*)]]+Tabla4[[#This Row],[Seguro 
de Salud (3.04%)
 (3*)]]+Tabla4[[#This Row],[Otros 
Descuentos]]</f>
        <v>14249.76</v>
      </c>
      <c r="L42" s="30">
        <f>+Tabla4[[#This Row],[Sueldo Bruto
(RD$)]]-Tabla4[[#This Row],[Total 
de 
Descuento]]</f>
        <v>55750.239999999998</v>
      </c>
      <c r="M42" s="30" t="s">
        <v>332</v>
      </c>
      <c r="N42" s="32" t="s">
        <v>19</v>
      </c>
    </row>
    <row r="43" spans="1:14" ht="30" customHeight="1">
      <c r="A43" s="157" t="s">
        <v>106</v>
      </c>
      <c r="B43" s="31" t="s">
        <v>373</v>
      </c>
      <c r="C43" s="31" t="s">
        <v>104</v>
      </c>
      <c r="D43" s="31" t="s">
        <v>371</v>
      </c>
      <c r="E43" s="25">
        <v>44530</v>
      </c>
      <c r="F43" s="30">
        <v>65000</v>
      </c>
      <c r="G43" s="91">
        <v>4427.58</v>
      </c>
      <c r="H43" s="30">
        <v>1865.5</v>
      </c>
      <c r="I43" s="30">
        <v>1976</v>
      </c>
      <c r="J43" s="31">
        <v>125</v>
      </c>
      <c r="K43" s="30">
        <v>8394.08</v>
      </c>
      <c r="L43" s="30">
        <v>56605.919999999998</v>
      </c>
      <c r="M43" s="30" t="s">
        <v>337</v>
      </c>
      <c r="N43" s="32" t="s">
        <v>35</v>
      </c>
    </row>
    <row r="44" spans="1:14" ht="30" customHeight="1">
      <c r="A44" s="157" t="s">
        <v>109</v>
      </c>
      <c r="B44" s="31" t="s">
        <v>374</v>
      </c>
      <c r="C44" s="31" t="s">
        <v>104</v>
      </c>
      <c r="D44" s="31" t="s">
        <v>375</v>
      </c>
      <c r="E44" s="25">
        <v>43010</v>
      </c>
      <c r="F44" s="30">
        <v>42000</v>
      </c>
      <c r="G44" s="31">
        <v>0</v>
      </c>
      <c r="H44" s="30">
        <v>1205.4000000000001</v>
      </c>
      <c r="I44" s="30">
        <v>1276.8</v>
      </c>
      <c r="J44" s="31">
        <v>25</v>
      </c>
      <c r="K44" s="30">
        <v>2507.1999999999998</v>
      </c>
      <c r="L44" s="30">
        <v>39492.800000000003</v>
      </c>
      <c r="M44" s="30" t="s">
        <v>332</v>
      </c>
      <c r="N44" s="32" t="s">
        <v>19</v>
      </c>
    </row>
    <row r="45" spans="1:14" ht="30" customHeight="1">
      <c r="A45" s="157" t="s">
        <v>112</v>
      </c>
      <c r="B45" s="31" t="s">
        <v>376</v>
      </c>
      <c r="C45" s="31" t="s">
        <v>120</v>
      </c>
      <c r="D45" s="31" t="s">
        <v>377</v>
      </c>
      <c r="E45" s="25">
        <v>42795</v>
      </c>
      <c r="F45" s="30">
        <v>90000</v>
      </c>
      <c r="G45" s="30">
        <v>9753.1200000000008</v>
      </c>
      <c r="H45" s="30">
        <v>2583</v>
      </c>
      <c r="I45" s="30">
        <v>2736</v>
      </c>
      <c r="J45" s="31">
        <v>125</v>
      </c>
      <c r="K45" s="30">
        <v>15197.12</v>
      </c>
      <c r="L45" s="30">
        <v>74802.880000000005</v>
      </c>
      <c r="M45" s="30" t="s">
        <v>332</v>
      </c>
      <c r="N45" s="32" t="s">
        <v>19</v>
      </c>
    </row>
    <row r="46" spans="1:14" ht="30" customHeight="1">
      <c r="A46" s="157" t="s">
        <v>115</v>
      </c>
      <c r="B46" s="31" t="s">
        <v>378</v>
      </c>
      <c r="C46" s="31" t="s">
        <v>120</v>
      </c>
      <c r="D46" s="31" t="s">
        <v>379</v>
      </c>
      <c r="E46" s="25">
        <v>42826</v>
      </c>
      <c r="F46" s="30">
        <v>120000</v>
      </c>
      <c r="G46" s="30">
        <v>16809.87</v>
      </c>
      <c r="H46" s="30">
        <v>3444</v>
      </c>
      <c r="I46" s="30">
        <v>3648</v>
      </c>
      <c r="J46" s="31">
        <v>125</v>
      </c>
      <c r="K46" s="30">
        <f>+Tabla4[[#This Row],[ISR
(Ley 11-92)
(1*)]]+Tabla4[[#This Row],[Seguro 
de Pensión 
(2.87%) 
 (2*)]]+Tabla4[[#This Row],[Seguro 
de Salud (3.04%)
 (3*)]]+Tabla4[[#This Row],[Otros 
Descuentos]]</f>
        <v>24026.87</v>
      </c>
      <c r="L46" s="30">
        <f>+Tabla4[[#This Row],[Sueldo Bruto
(RD$)]]-Tabla4[[#This Row],[Total 
de 
Descuento]]</f>
        <v>95973.13</v>
      </c>
      <c r="M46" s="30" t="s">
        <v>332</v>
      </c>
      <c r="N46" s="32" t="s">
        <v>19</v>
      </c>
    </row>
    <row r="47" spans="1:14" ht="30" customHeight="1">
      <c r="A47" s="157" t="s">
        <v>118</v>
      </c>
      <c r="B47" s="31" t="s">
        <v>380</v>
      </c>
      <c r="C47" s="31" t="s">
        <v>120</v>
      </c>
      <c r="D47" s="31" t="s">
        <v>381</v>
      </c>
      <c r="E47" s="25">
        <v>41153</v>
      </c>
      <c r="F47" s="30">
        <v>85000</v>
      </c>
      <c r="G47" s="30">
        <v>7820.77</v>
      </c>
      <c r="H47" s="30">
        <v>2439.5</v>
      </c>
      <c r="I47" s="30">
        <v>2584</v>
      </c>
      <c r="J47" s="30">
        <v>3149.9</v>
      </c>
      <c r="K47" s="30">
        <v>15994.17</v>
      </c>
      <c r="L47" s="30">
        <v>69005.83</v>
      </c>
      <c r="M47" s="30" t="s">
        <v>332</v>
      </c>
      <c r="N47" s="32" t="s">
        <v>19</v>
      </c>
    </row>
    <row r="48" spans="1:14" ht="30" customHeight="1">
      <c r="A48" s="157" t="s">
        <v>122</v>
      </c>
      <c r="B48" s="31" t="s">
        <v>382</v>
      </c>
      <c r="C48" s="31" t="s">
        <v>120</v>
      </c>
      <c r="D48" s="31" t="s">
        <v>383</v>
      </c>
      <c r="E48" s="25">
        <v>44440</v>
      </c>
      <c r="F48" s="30">
        <v>65000</v>
      </c>
      <c r="G48" s="30">
        <v>3822.6</v>
      </c>
      <c r="H48" s="30">
        <v>1865.5</v>
      </c>
      <c r="I48" s="30">
        <v>1976</v>
      </c>
      <c r="J48" s="30">
        <v>3049.9</v>
      </c>
      <c r="K48" s="30">
        <v>10714</v>
      </c>
      <c r="L48" s="30">
        <f>+Tabla4[[#This Row],[Sueldo Bruto
(RD$)]]-Tabla4[[#This Row],[Total 
de 
Descuento]]</f>
        <v>54286</v>
      </c>
      <c r="M48" s="30" t="s">
        <v>337</v>
      </c>
      <c r="N48" s="32" t="s">
        <v>35</v>
      </c>
    </row>
    <row r="49" spans="1:18" ht="30" customHeight="1">
      <c r="A49" s="157" t="s">
        <v>124</v>
      </c>
      <c r="B49" s="31" t="s">
        <v>384</v>
      </c>
      <c r="C49" s="31" t="s">
        <v>120</v>
      </c>
      <c r="D49" s="31" t="s">
        <v>91</v>
      </c>
      <c r="E49" s="25">
        <v>38991</v>
      </c>
      <c r="F49" s="30">
        <v>71500</v>
      </c>
      <c r="G49" s="30">
        <v>5650.75</v>
      </c>
      <c r="H49" s="30">
        <v>2052.0500000000002</v>
      </c>
      <c r="I49" s="30">
        <v>2173.6</v>
      </c>
      <c r="J49" s="31">
        <v>25</v>
      </c>
      <c r="K49" s="30">
        <v>9901.4</v>
      </c>
      <c r="L49" s="30">
        <f>+Tabla4[[#This Row],[Sueldo Bruto
(RD$)]]-Tabla4[[#This Row],[Total 
de 
Descuento]]</f>
        <v>61598.6</v>
      </c>
      <c r="M49" s="30" t="s">
        <v>337</v>
      </c>
      <c r="N49" s="32" t="s">
        <v>19</v>
      </c>
    </row>
    <row r="50" spans="1:18" ht="30" customHeight="1">
      <c r="A50" s="157" t="s">
        <v>125</v>
      </c>
      <c r="B50" s="31" t="s">
        <v>385</v>
      </c>
      <c r="C50" s="31" t="s">
        <v>133</v>
      </c>
      <c r="D50" s="31" t="s">
        <v>386</v>
      </c>
      <c r="E50" s="26" t="s">
        <v>387</v>
      </c>
      <c r="F50" s="30">
        <v>80000</v>
      </c>
      <c r="G50" s="30">
        <v>7022.76</v>
      </c>
      <c r="H50" s="30">
        <v>2296</v>
      </c>
      <c r="I50" s="30">
        <v>2432</v>
      </c>
      <c r="J50" s="30">
        <v>1537.45</v>
      </c>
      <c r="K50" s="30">
        <v>13288.21</v>
      </c>
      <c r="L50" s="30">
        <v>66711.789999999994</v>
      </c>
      <c r="M50" s="30" t="s">
        <v>337</v>
      </c>
      <c r="N50" s="32" t="s">
        <v>19</v>
      </c>
    </row>
    <row r="51" spans="1:18" ht="30" customHeight="1">
      <c r="A51" s="157" t="s">
        <v>127</v>
      </c>
      <c r="B51" s="31" t="s">
        <v>388</v>
      </c>
      <c r="C51" s="31" t="s">
        <v>133</v>
      </c>
      <c r="D51" s="31" t="s">
        <v>140</v>
      </c>
      <c r="E51" s="25">
        <v>38443</v>
      </c>
      <c r="F51" s="30">
        <v>80000</v>
      </c>
      <c r="G51" s="30">
        <v>7022.76</v>
      </c>
      <c r="H51" s="30">
        <v>2296</v>
      </c>
      <c r="I51" s="30">
        <v>2432</v>
      </c>
      <c r="J51" s="30">
        <v>1537.45</v>
      </c>
      <c r="K51" s="30">
        <v>13288.21</v>
      </c>
      <c r="L51" s="30">
        <v>66711.789999999994</v>
      </c>
      <c r="M51" s="30" t="s">
        <v>337</v>
      </c>
      <c r="N51" s="32" t="s">
        <v>19</v>
      </c>
    </row>
    <row r="52" spans="1:18" ht="30" customHeight="1">
      <c r="A52" s="157" t="s">
        <v>129</v>
      </c>
      <c r="B52" s="31" t="s">
        <v>389</v>
      </c>
      <c r="C52" s="31" t="s">
        <v>133</v>
      </c>
      <c r="D52" s="31" t="s">
        <v>140</v>
      </c>
      <c r="E52" s="25">
        <v>41730</v>
      </c>
      <c r="F52" s="30">
        <v>65000</v>
      </c>
      <c r="G52" s="91">
        <v>4427.58</v>
      </c>
      <c r="H52" s="30">
        <v>1865.5</v>
      </c>
      <c r="I52" s="30">
        <v>1976</v>
      </c>
      <c r="J52" s="31">
        <v>25</v>
      </c>
      <c r="K52" s="30">
        <f>+Tabla4[[#This Row],[ISR
(Ley 11-92)
(1*)]]+Tabla4[[#This Row],[Seguro 
de Pensión 
(2.87%) 
 (2*)]]+Tabla4[[#This Row],[Seguro 
de Salud (3.04%)
 (3*)]]+Tabla4[[#This Row],[Otros 
Descuentos]]</f>
        <v>8294.08</v>
      </c>
      <c r="L52" s="30">
        <f>+Tabla4[[#This Row],[Sueldo Bruto
(RD$)]]-Tabla4[[#This Row],[Total 
de 
Descuento]]</f>
        <v>56705.919999999998</v>
      </c>
      <c r="M52" s="30" t="s">
        <v>332</v>
      </c>
      <c r="N52" s="32" t="s">
        <v>35</v>
      </c>
    </row>
    <row r="53" spans="1:18" ht="30" customHeight="1">
      <c r="A53" s="157" t="s">
        <v>131</v>
      </c>
      <c r="B53" s="31" t="s">
        <v>390</v>
      </c>
      <c r="C53" s="31" t="s">
        <v>133</v>
      </c>
      <c r="D53" s="31" t="s">
        <v>369</v>
      </c>
      <c r="E53" s="25">
        <v>44470</v>
      </c>
      <c r="F53" s="30">
        <v>35000</v>
      </c>
      <c r="G53" s="31">
        <v>0</v>
      </c>
      <c r="H53" s="30">
        <v>1004.5</v>
      </c>
      <c r="I53" s="30">
        <v>1064</v>
      </c>
      <c r="J53" s="30">
        <v>1444.25</v>
      </c>
      <c r="K53" s="30">
        <v>3512.75</v>
      </c>
      <c r="L53" s="30">
        <v>31487.25</v>
      </c>
      <c r="M53" s="30" t="s">
        <v>332</v>
      </c>
      <c r="N53" s="32" t="s">
        <v>19</v>
      </c>
    </row>
    <row r="54" spans="1:18" ht="30" customHeight="1">
      <c r="A54" s="157" t="s">
        <v>135</v>
      </c>
      <c r="B54" s="31" t="s">
        <v>391</v>
      </c>
      <c r="C54" s="31" t="s">
        <v>133</v>
      </c>
      <c r="D54" s="31" t="s">
        <v>345</v>
      </c>
      <c r="E54" s="25">
        <v>43102</v>
      </c>
      <c r="F54" s="30">
        <v>36000</v>
      </c>
      <c r="G54" s="30">
        <v>0</v>
      </c>
      <c r="H54" s="30">
        <v>1033.2</v>
      </c>
      <c r="I54" s="30">
        <v>1094.4000000000001</v>
      </c>
      <c r="J54" s="31">
        <v>25</v>
      </c>
      <c r="K54" s="30">
        <v>2152.6</v>
      </c>
      <c r="L54" s="30">
        <v>33847.4</v>
      </c>
      <c r="M54" s="30" t="s">
        <v>526</v>
      </c>
      <c r="N54" s="32" t="s">
        <v>19</v>
      </c>
    </row>
    <row r="55" spans="1:18" ht="30" customHeight="1">
      <c r="A55" s="157" t="s">
        <v>138</v>
      </c>
      <c r="B55" s="92" t="s">
        <v>410</v>
      </c>
      <c r="C55" s="92" t="s">
        <v>133</v>
      </c>
      <c r="D55" s="92" t="s">
        <v>484</v>
      </c>
      <c r="E55" s="29">
        <v>42401</v>
      </c>
      <c r="F55" s="93">
        <v>30000</v>
      </c>
      <c r="G55" s="92">
        <v>0</v>
      </c>
      <c r="H55" s="92">
        <v>861</v>
      </c>
      <c r="I55" s="92">
        <v>912</v>
      </c>
      <c r="J55" s="92">
        <v>125</v>
      </c>
      <c r="K55" s="93">
        <v>1898</v>
      </c>
      <c r="L55" s="93">
        <v>28102</v>
      </c>
      <c r="M55" s="93" t="s">
        <v>526</v>
      </c>
      <c r="N55" s="96" t="s">
        <v>19</v>
      </c>
      <c r="O55" s="94"/>
      <c r="P55" s="94"/>
      <c r="Q55" s="94"/>
      <c r="R55" s="94"/>
    </row>
    <row r="56" spans="1:18" ht="30" customHeight="1">
      <c r="A56" s="157" t="s">
        <v>141</v>
      </c>
      <c r="B56" s="92" t="s">
        <v>392</v>
      </c>
      <c r="C56" s="92" t="s">
        <v>143</v>
      </c>
      <c r="D56" s="92" t="s">
        <v>393</v>
      </c>
      <c r="E56" s="29">
        <v>44298</v>
      </c>
      <c r="F56" s="93">
        <v>50000</v>
      </c>
      <c r="G56" s="92">
        <v>0</v>
      </c>
      <c r="H56" s="93">
        <v>1435</v>
      </c>
      <c r="I56" s="93">
        <v>1520</v>
      </c>
      <c r="J56" s="93">
        <v>5962.75</v>
      </c>
      <c r="K56" s="93">
        <f>+Tabla4[[#This Row],[ISR
(Ley 11-92)
(1*)]]+Tabla4[[#This Row],[Seguro 
de Pensión 
(2.87%) 
 (2*)]]+Tabla4[[#This Row],[Seguro 
de Salud (3.04%)
 (3*)]]+Tabla4[[#This Row],[Otros 
Descuentos]]</f>
        <v>8917.75</v>
      </c>
      <c r="L56" s="93">
        <f>+Tabla4[[#This Row],[Sueldo Bruto
(RD$)]]-Tabla4[[#This Row],[Total 
de 
Descuento]]</f>
        <v>41082.25</v>
      </c>
      <c r="M56" s="93" t="s">
        <v>332</v>
      </c>
      <c r="N56" s="96" t="s">
        <v>35</v>
      </c>
      <c r="O56" s="94"/>
      <c r="P56" s="94"/>
      <c r="Q56" s="94"/>
      <c r="R56" s="94"/>
    </row>
    <row r="57" spans="1:18" ht="30" customHeight="1">
      <c r="A57" s="157" t="s">
        <v>145</v>
      </c>
      <c r="B57" s="92" t="s">
        <v>394</v>
      </c>
      <c r="C57" s="92" t="s">
        <v>143</v>
      </c>
      <c r="D57" s="92" t="s">
        <v>395</v>
      </c>
      <c r="E57" s="29">
        <v>41835</v>
      </c>
      <c r="F57" s="93">
        <v>26250</v>
      </c>
      <c r="G57" s="92">
        <v>0</v>
      </c>
      <c r="H57" s="92">
        <v>753.38</v>
      </c>
      <c r="I57" s="92">
        <v>798</v>
      </c>
      <c r="J57" s="92">
        <v>525</v>
      </c>
      <c r="K57" s="93">
        <v>2076.38</v>
      </c>
      <c r="L57" s="93">
        <v>24173.62</v>
      </c>
      <c r="M57" s="93" t="s">
        <v>526</v>
      </c>
      <c r="N57" s="96" t="s">
        <v>35</v>
      </c>
      <c r="O57" s="94"/>
      <c r="P57" s="94"/>
      <c r="Q57" s="94"/>
      <c r="R57" s="94"/>
    </row>
    <row r="58" spans="1:18" ht="30" customHeight="1">
      <c r="A58" s="157" t="s">
        <v>149</v>
      </c>
      <c r="B58" s="92" t="s">
        <v>396</v>
      </c>
      <c r="C58" s="92" t="s">
        <v>143</v>
      </c>
      <c r="D58" s="92" t="s">
        <v>395</v>
      </c>
      <c r="E58" s="29">
        <v>43617</v>
      </c>
      <c r="F58" s="93">
        <v>25000</v>
      </c>
      <c r="G58" s="92">
        <v>0</v>
      </c>
      <c r="H58" s="92">
        <v>717.5</v>
      </c>
      <c r="I58" s="92">
        <v>760</v>
      </c>
      <c r="J58" s="93">
        <v>1625</v>
      </c>
      <c r="K58" s="93">
        <v>3102.5</v>
      </c>
      <c r="L58" s="93">
        <v>21897.5</v>
      </c>
      <c r="M58" s="93" t="s">
        <v>526</v>
      </c>
      <c r="N58" s="96" t="s">
        <v>35</v>
      </c>
      <c r="O58" s="94"/>
      <c r="P58" s="94"/>
      <c r="Q58" s="94"/>
      <c r="R58" s="94"/>
    </row>
    <row r="59" spans="1:18" ht="30" customHeight="1">
      <c r="A59" s="157" t="s">
        <v>152</v>
      </c>
      <c r="B59" s="92" t="s">
        <v>397</v>
      </c>
      <c r="C59" s="92" t="s">
        <v>143</v>
      </c>
      <c r="D59" s="92" t="s">
        <v>348</v>
      </c>
      <c r="E59" s="29">
        <v>42767</v>
      </c>
      <c r="F59" s="93">
        <v>26250</v>
      </c>
      <c r="G59" s="92">
        <v>0</v>
      </c>
      <c r="H59" s="92">
        <v>753.38</v>
      </c>
      <c r="I59" s="92">
        <v>798</v>
      </c>
      <c r="J59" s="92">
        <v>625</v>
      </c>
      <c r="K59" s="93">
        <v>2176.38</v>
      </c>
      <c r="L59" s="93">
        <v>24073.62</v>
      </c>
      <c r="M59" s="93" t="s">
        <v>526</v>
      </c>
      <c r="N59" s="96" t="s">
        <v>35</v>
      </c>
      <c r="O59" s="94"/>
      <c r="P59" s="94"/>
      <c r="Q59" s="94"/>
      <c r="R59" s="94"/>
    </row>
    <row r="60" spans="1:18" ht="30" customHeight="1">
      <c r="A60" s="157" t="s">
        <v>156</v>
      </c>
      <c r="B60" s="92" t="s">
        <v>398</v>
      </c>
      <c r="C60" s="92" t="s">
        <v>143</v>
      </c>
      <c r="D60" s="92" t="s">
        <v>348</v>
      </c>
      <c r="E60" s="29">
        <v>43313</v>
      </c>
      <c r="F60" s="93">
        <v>25000</v>
      </c>
      <c r="G60" s="92">
        <v>0</v>
      </c>
      <c r="H60" s="92">
        <v>717.5</v>
      </c>
      <c r="I60" s="92">
        <v>760</v>
      </c>
      <c r="J60" s="92">
        <v>125</v>
      </c>
      <c r="K60" s="93">
        <v>1602.5</v>
      </c>
      <c r="L60" s="93">
        <v>23397.5</v>
      </c>
      <c r="M60" s="93" t="s">
        <v>526</v>
      </c>
      <c r="N60" s="96" t="s">
        <v>35</v>
      </c>
      <c r="O60" s="94"/>
      <c r="P60" s="94"/>
      <c r="Q60" s="94"/>
      <c r="R60" s="94"/>
    </row>
    <row r="61" spans="1:18" ht="30" customHeight="1">
      <c r="A61" s="157" t="s">
        <v>158</v>
      </c>
      <c r="B61" s="92" t="s">
        <v>399</v>
      </c>
      <c r="C61" s="92" t="s">
        <v>143</v>
      </c>
      <c r="D61" s="92" t="s">
        <v>348</v>
      </c>
      <c r="E61" s="29">
        <v>43346</v>
      </c>
      <c r="F61" s="93">
        <v>25000</v>
      </c>
      <c r="G61" s="92">
        <v>0</v>
      </c>
      <c r="H61" s="92">
        <v>717.5</v>
      </c>
      <c r="I61" s="92">
        <v>760</v>
      </c>
      <c r="J61" s="93">
        <v>1125</v>
      </c>
      <c r="K61" s="93">
        <v>2602.5</v>
      </c>
      <c r="L61" s="93">
        <v>22397.5</v>
      </c>
      <c r="M61" s="93" t="s">
        <v>526</v>
      </c>
      <c r="N61" s="96" t="s">
        <v>35</v>
      </c>
      <c r="O61" s="94"/>
      <c r="P61" s="94"/>
      <c r="Q61" s="94"/>
      <c r="R61" s="94"/>
    </row>
    <row r="62" spans="1:18" ht="30" customHeight="1">
      <c r="A62" s="157" t="s">
        <v>161</v>
      </c>
      <c r="B62" s="92" t="s">
        <v>400</v>
      </c>
      <c r="C62" s="92" t="s">
        <v>143</v>
      </c>
      <c r="D62" s="92" t="s">
        <v>348</v>
      </c>
      <c r="E62" s="29">
        <v>44459</v>
      </c>
      <c r="F62" s="93">
        <v>20000</v>
      </c>
      <c r="G62" s="92">
        <v>0</v>
      </c>
      <c r="H62" s="92">
        <v>574</v>
      </c>
      <c r="I62" s="92">
        <v>608</v>
      </c>
      <c r="J62" s="92">
        <v>25</v>
      </c>
      <c r="K62" s="93">
        <v>1207</v>
      </c>
      <c r="L62" s="93">
        <v>18793</v>
      </c>
      <c r="M62" s="93" t="s">
        <v>526</v>
      </c>
      <c r="N62" s="96" t="s">
        <v>35</v>
      </c>
      <c r="O62" s="94"/>
      <c r="P62" s="94"/>
      <c r="Q62" s="94"/>
      <c r="R62" s="94"/>
    </row>
    <row r="63" spans="1:18" ht="30" customHeight="1">
      <c r="A63" s="157" t="s">
        <v>163</v>
      </c>
      <c r="B63" s="92" t="s">
        <v>615</v>
      </c>
      <c r="C63" s="92" t="s">
        <v>143</v>
      </c>
      <c r="D63" s="92" t="s">
        <v>348</v>
      </c>
      <c r="E63" s="29">
        <v>44851</v>
      </c>
      <c r="F63" s="93">
        <v>20000</v>
      </c>
      <c r="G63" s="92">
        <v>0</v>
      </c>
      <c r="H63" s="92">
        <v>574</v>
      </c>
      <c r="I63" s="92">
        <v>608</v>
      </c>
      <c r="J63" s="92">
        <v>25</v>
      </c>
      <c r="K63" s="93">
        <v>1207</v>
      </c>
      <c r="L63" s="93">
        <v>18793</v>
      </c>
      <c r="M63" s="93" t="s">
        <v>526</v>
      </c>
      <c r="N63" s="96" t="s">
        <v>35</v>
      </c>
      <c r="O63" s="94"/>
      <c r="P63" s="94"/>
      <c r="Q63" s="94"/>
      <c r="R63" s="94"/>
    </row>
    <row r="64" spans="1:18" ht="30" customHeight="1">
      <c r="A64" s="157" t="s">
        <v>166</v>
      </c>
      <c r="B64" s="92" t="s">
        <v>401</v>
      </c>
      <c r="C64" s="92" t="s">
        <v>143</v>
      </c>
      <c r="D64" s="92" t="s">
        <v>402</v>
      </c>
      <c r="E64" s="29">
        <v>38504</v>
      </c>
      <c r="F64" s="93">
        <v>29940.74</v>
      </c>
      <c r="G64" s="92">
        <v>0</v>
      </c>
      <c r="H64" s="92">
        <v>859.3</v>
      </c>
      <c r="I64" s="92">
        <v>910.2</v>
      </c>
      <c r="J64" s="92">
        <v>25</v>
      </c>
      <c r="K64" s="93">
        <v>1794.5</v>
      </c>
      <c r="L64" s="93">
        <v>28146.240000000002</v>
      </c>
      <c r="M64" s="93" t="s">
        <v>526</v>
      </c>
      <c r="N64" s="96" t="s">
        <v>19</v>
      </c>
      <c r="O64" s="94"/>
      <c r="P64" s="94"/>
      <c r="Q64" s="94"/>
      <c r="R64" s="94"/>
    </row>
    <row r="65" spans="1:18" ht="30" customHeight="1">
      <c r="A65" s="157" t="s">
        <v>168</v>
      </c>
      <c r="B65" s="92" t="s">
        <v>403</v>
      </c>
      <c r="C65" s="92" t="s">
        <v>143</v>
      </c>
      <c r="D65" s="92" t="s">
        <v>404</v>
      </c>
      <c r="E65" s="29">
        <v>38384</v>
      </c>
      <c r="F65" s="93">
        <v>22000</v>
      </c>
      <c r="G65" s="92">
        <v>0</v>
      </c>
      <c r="H65" s="92">
        <v>631.4</v>
      </c>
      <c r="I65" s="92">
        <v>668.8</v>
      </c>
      <c r="J65" s="92">
        <v>25</v>
      </c>
      <c r="K65" s="93">
        <v>1325.2</v>
      </c>
      <c r="L65" s="93">
        <v>20674.8</v>
      </c>
      <c r="M65" s="93" t="s">
        <v>526</v>
      </c>
      <c r="N65" s="96" t="s">
        <v>19</v>
      </c>
      <c r="O65" s="94"/>
      <c r="P65" s="94"/>
      <c r="Q65" s="94"/>
      <c r="R65" s="94"/>
    </row>
    <row r="66" spans="1:18" ht="30" customHeight="1">
      <c r="A66" s="157" t="s">
        <v>171</v>
      </c>
      <c r="B66" s="92" t="s">
        <v>405</v>
      </c>
      <c r="C66" s="92" t="s">
        <v>143</v>
      </c>
      <c r="D66" s="92" t="s">
        <v>404</v>
      </c>
      <c r="E66" s="29">
        <v>38869</v>
      </c>
      <c r="F66" s="93">
        <v>22000</v>
      </c>
      <c r="G66" s="92">
        <v>0</v>
      </c>
      <c r="H66" s="92">
        <v>631.4</v>
      </c>
      <c r="I66" s="92">
        <v>668.8</v>
      </c>
      <c r="J66" s="93">
        <v>2125</v>
      </c>
      <c r="K66" s="93">
        <f>+Tabla4[[#This Row],[Seguro 
de Pensión 
(2.87%) 
 (2*)]]+Tabla4[[#This Row],[ISR
(Ley 11-92)
(1*)]]+Tabla4[[#This Row],[Seguro 
de Salud (3.04%)
 (3*)]]+Tabla4[[#This Row],[Otros 
Descuentos]]</f>
        <v>3425.2</v>
      </c>
      <c r="L66" s="93">
        <f>+Tabla4[[#This Row],[Sueldo Bruto
(RD$)]]-Tabla4[[#This Row],[Total 
de 
Descuento]]</f>
        <v>18574.8</v>
      </c>
      <c r="M66" s="93" t="s">
        <v>526</v>
      </c>
      <c r="N66" s="96" t="s">
        <v>19</v>
      </c>
      <c r="O66" s="94"/>
      <c r="P66" s="94"/>
      <c r="Q66" s="94"/>
      <c r="R66" s="94"/>
    </row>
    <row r="67" spans="1:18" ht="30" customHeight="1">
      <c r="A67" s="157" t="s">
        <v>174</v>
      </c>
      <c r="B67" s="92" t="s">
        <v>406</v>
      </c>
      <c r="C67" s="92" t="s">
        <v>143</v>
      </c>
      <c r="D67" s="92" t="s">
        <v>404</v>
      </c>
      <c r="E67" s="29">
        <v>40940</v>
      </c>
      <c r="F67" s="93">
        <v>22000</v>
      </c>
      <c r="G67" s="92">
        <v>0</v>
      </c>
      <c r="H67" s="93">
        <v>631.4</v>
      </c>
      <c r="I67" s="93">
        <v>668.8</v>
      </c>
      <c r="J67" s="92">
        <v>25</v>
      </c>
      <c r="K67" s="93">
        <v>1325.2</v>
      </c>
      <c r="L67" s="93">
        <f>+Tabla4[[#This Row],[Sueldo Bruto
(RD$)]]-Tabla4[[#This Row],[Total 
de 
Descuento]]</f>
        <v>20674.8</v>
      </c>
      <c r="M67" s="93" t="s">
        <v>526</v>
      </c>
      <c r="N67" s="96" t="s">
        <v>35</v>
      </c>
      <c r="O67" s="94"/>
      <c r="P67" s="94"/>
      <c r="Q67" s="94"/>
      <c r="R67" s="94"/>
    </row>
    <row r="68" spans="1:18" ht="30" customHeight="1">
      <c r="A68" s="157" t="s">
        <v>177</v>
      </c>
      <c r="B68" s="92" t="s">
        <v>407</v>
      </c>
      <c r="C68" s="92" t="s">
        <v>143</v>
      </c>
      <c r="D68" s="92" t="s">
        <v>404</v>
      </c>
      <c r="E68" s="29">
        <v>42386</v>
      </c>
      <c r="F68" s="93">
        <v>22000</v>
      </c>
      <c r="G68" s="92">
        <v>0</v>
      </c>
      <c r="H68" s="93">
        <v>631.4</v>
      </c>
      <c r="I68" s="93">
        <v>668.8</v>
      </c>
      <c r="J68" s="92">
        <v>125</v>
      </c>
      <c r="K68" s="93">
        <v>1425.2</v>
      </c>
      <c r="L68" s="93">
        <v>20574.8</v>
      </c>
      <c r="M68" s="93" t="s">
        <v>526</v>
      </c>
      <c r="N68" s="96" t="s">
        <v>19</v>
      </c>
      <c r="O68" s="94"/>
      <c r="P68" s="94"/>
      <c r="Q68" s="94"/>
      <c r="R68" s="94"/>
    </row>
    <row r="69" spans="1:18" ht="30" customHeight="1">
      <c r="A69" s="157" t="s">
        <v>179</v>
      </c>
      <c r="B69" s="92" t="s">
        <v>408</v>
      </c>
      <c r="C69" s="92" t="s">
        <v>143</v>
      </c>
      <c r="D69" s="92" t="s">
        <v>404</v>
      </c>
      <c r="E69" s="29">
        <v>41306</v>
      </c>
      <c r="F69" s="93">
        <v>22000</v>
      </c>
      <c r="G69" s="92">
        <v>0</v>
      </c>
      <c r="H69" s="93">
        <v>631.4</v>
      </c>
      <c r="I69" s="93">
        <v>668.8</v>
      </c>
      <c r="J69" s="92">
        <v>125</v>
      </c>
      <c r="K69" s="93">
        <v>1425.2</v>
      </c>
      <c r="L69" s="93">
        <v>20574.8</v>
      </c>
      <c r="M69" s="93" t="s">
        <v>526</v>
      </c>
      <c r="N69" s="96" t="s">
        <v>19</v>
      </c>
      <c r="O69" s="94"/>
      <c r="P69" s="94"/>
      <c r="Q69" s="94"/>
      <c r="R69" s="94"/>
    </row>
    <row r="70" spans="1:18" ht="30" customHeight="1">
      <c r="A70" s="157" t="s">
        <v>181</v>
      </c>
      <c r="B70" s="92" t="s">
        <v>409</v>
      </c>
      <c r="C70" s="92" t="s">
        <v>143</v>
      </c>
      <c r="D70" s="92" t="s">
        <v>404</v>
      </c>
      <c r="E70" s="29">
        <v>41624</v>
      </c>
      <c r="F70" s="93">
        <v>22000</v>
      </c>
      <c r="G70" s="92">
        <v>0</v>
      </c>
      <c r="H70" s="92">
        <v>631.4</v>
      </c>
      <c r="I70" s="92">
        <v>668.8</v>
      </c>
      <c r="J70" s="92">
        <v>25</v>
      </c>
      <c r="K70" s="93">
        <v>1325.2</v>
      </c>
      <c r="L70" s="93">
        <v>20674.8</v>
      </c>
      <c r="M70" s="93" t="s">
        <v>526</v>
      </c>
      <c r="N70" s="96" t="s">
        <v>19</v>
      </c>
      <c r="O70" s="94"/>
      <c r="P70" s="94"/>
      <c r="Q70" s="94"/>
      <c r="R70" s="94"/>
    </row>
    <row r="71" spans="1:18" ht="30" customHeight="1">
      <c r="A71" s="157" t="s">
        <v>183</v>
      </c>
      <c r="B71" s="92" t="s">
        <v>411</v>
      </c>
      <c r="C71" s="92" t="s">
        <v>143</v>
      </c>
      <c r="D71" s="92" t="s">
        <v>404</v>
      </c>
      <c r="E71" s="29">
        <v>43132</v>
      </c>
      <c r="F71" s="93">
        <v>22000</v>
      </c>
      <c r="G71" s="92">
        <v>0</v>
      </c>
      <c r="H71" s="92">
        <v>631.4</v>
      </c>
      <c r="I71" s="92">
        <v>668.8</v>
      </c>
      <c r="J71" s="92">
        <v>125</v>
      </c>
      <c r="K71" s="93">
        <v>1425.2</v>
      </c>
      <c r="L71" s="93">
        <v>20574.8</v>
      </c>
      <c r="M71" s="93" t="s">
        <v>526</v>
      </c>
      <c r="N71" s="96" t="s">
        <v>19</v>
      </c>
      <c r="O71" s="94"/>
      <c r="P71" s="94"/>
      <c r="Q71" s="94"/>
      <c r="R71" s="94"/>
    </row>
    <row r="72" spans="1:18" ht="30" customHeight="1">
      <c r="A72" s="157" t="s">
        <v>184</v>
      </c>
      <c r="B72" s="92" t="s">
        <v>412</v>
      </c>
      <c r="C72" s="92" t="s">
        <v>143</v>
      </c>
      <c r="D72" s="92" t="s">
        <v>404</v>
      </c>
      <c r="E72" s="29">
        <v>43617</v>
      </c>
      <c r="F72" s="93">
        <v>20000</v>
      </c>
      <c r="G72" s="92">
        <v>0</v>
      </c>
      <c r="H72" s="92">
        <f>+Tabla4[[#This Row],[Sueldo Bruto
(RD$)]]*0.0287</f>
        <v>574</v>
      </c>
      <c r="I72" s="92">
        <f>+Tabla4[[#This Row],[Sueldo Bruto
(RD$)]]*0.0304</f>
        <v>608</v>
      </c>
      <c r="J72" s="92">
        <v>125</v>
      </c>
      <c r="K72" s="93">
        <f>+Tabla4[[#This Row],[Seguro 
de Pensión 
(2.87%) 
 (2*)]]+Tabla4[[#This Row],[ISR
(Ley 11-92)
(1*)]]+Tabla4[[#This Row],[Seguro 
de Salud (3.04%)
 (3*)]]+Tabla4[[#This Row],[Otros 
Descuentos]]</f>
        <v>1307</v>
      </c>
      <c r="L72" s="93">
        <f>+Tabla4[[#This Row],[Sueldo Bruto
(RD$)]]-Tabla4[[#This Row],[Total 
de 
Descuento]]</f>
        <v>18693</v>
      </c>
      <c r="M72" s="93" t="s">
        <v>526</v>
      </c>
      <c r="N72" s="96" t="s">
        <v>35</v>
      </c>
      <c r="O72" s="94"/>
      <c r="P72" s="94"/>
      <c r="Q72" s="94"/>
      <c r="R72" s="94"/>
    </row>
    <row r="73" spans="1:18" ht="30" customHeight="1">
      <c r="A73" s="157" t="s">
        <v>186</v>
      </c>
      <c r="B73" s="92" t="s">
        <v>413</v>
      </c>
      <c r="C73" s="92" t="s">
        <v>143</v>
      </c>
      <c r="D73" s="92" t="s">
        <v>404</v>
      </c>
      <c r="E73" s="29">
        <v>44459</v>
      </c>
      <c r="F73" s="93">
        <v>15000</v>
      </c>
      <c r="G73" s="92">
        <v>0</v>
      </c>
      <c r="H73" s="92">
        <v>430.5</v>
      </c>
      <c r="I73" s="92">
        <v>456</v>
      </c>
      <c r="J73" s="93">
        <v>1537.45</v>
      </c>
      <c r="K73" s="93">
        <v>2423.9499999999998</v>
      </c>
      <c r="L73" s="93">
        <f>+Tabla4[[#This Row],[Sueldo Bruto
(RD$)]]-Tabla4[[#This Row],[Total 
de 
Descuento]]</f>
        <v>12576.05</v>
      </c>
      <c r="M73" s="93" t="s">
        <v>526</v>
      </c>
      <c r="N73" s="96" t="s">
        <v>19</v>
      </c>
      <c r="O73" s="94"/>
      <c r="P73" s="94"/>
      <c r="Q73" s="94"/>
      <c r="R73" s="94"/>
    </row>
    <row r="74" spans="1:18" ht="30" customHeight="1">
      <c r="A74" s="157" t="s">
        <v>189</v>
      </c>
      <c r="B74" s="92" t="s">
        <v>414</v>
      </c>
      <c r="C74" s="92" t="s">
        <v>143</v>
      </c>
      <c r="D74" s="92" t="s">
        <v>404</v>
      </c>
      <c r="E74" s="29">
        <v>43845</v>
      </c>
      <c r="F74" s="93">
        <v>15000</v>
      </c>
      <c r="G74" s="92">
        <v>0</v>
      </c>
      <c r="H74" s="92">
        <v>430.5</v>
      </c>
      <c r="I74" s="92">
        <v>456</v>
      </c>
      <c r="J74" s="92">
        <v>25</v>
      </c>
      <c r="K74" s="92">
        <v>911.5</v>
      </c>
      <c r="L74" s="93">
        <v>14088.5</v>
      </c>
      <c r="M74" s="93" t="s">
        <v>526</v>
      </c>
      <c r="N74" s="96" t="s">
        <v>35</v>
      </c>
      <c r="O74" s="94"/>
      <c r="P74" s="94"/>
      <c r="Q74" s="94"/>
      <c r="R74" s="94"/>
    </row>
    <row r="75" spans="1:18" ht="30" customHeight="1">
      <c r="A75" s="157" t="s">
        <v>191</v>
      </c>
      <c r="B75" s="92" t="s">
        <v>415</v>
      </c>
      <c r="C75" s="92" t="s">
        <v>143</v>
      </c>
      <c r="D75" s="92" t="s">
        <v>404</v>
      </c>
      <c r="E75" s="29">
        <v>44102</v>
      </c>
      <c r="F75" s="93">
        <v>15000</v>
      </c>
      <c r="G75" s="92">
        <v>0</v>
      </c>
      <c r="H75" s="92">
        <v>430.5</v>
      </c>
      <c r="I75" s="92">
        <v>456</v>
      </c>
      <c r="J75" s="92">
        <v>125</v>
      </c>
      <c r="K75" s="93">
        <v>1011.5</v>
      </c>
      <c r="L75" s="93">
        <v>13988.5</v>
      </c>
      <c r="M75" s="93" t="s">
        <v>526</v>
      </c>
      <c r="N75" s="96" t="s">
        <v>19</v>
      </c>
      <c r="O75" s="94"/>
      <c r="P75" s="94"/>
      <c r="Q75" s="94"/>
      <c r="R75" s="94"/>
    </row>
    <row r="76" spans="1:18" ht="30" customHeight="1">
      <c r="A76" s="157" t="s">
        <v>194</v>
      </c>
      <c r="B76" s="92" t="s">
        <v>574</v>
      </c>
      <c r="C76" s="92" t="s">
        <v>143</v>
      </c>
      <c r="D76" s="92" t="s">
        <v>404</v>
      </c>
      <c r="E76" s="29">
        <v>44713</v>
      </c>
      <c r="F76" s="93">
        <v>20000</v>
      </c>
      <c r="G76" s="92">
        <v>0</v>
      </c>
      <c r="H76" s="93">
        <v>574</v>
      </c>
      <c r="I76" s="93">
        <v>608</v>
      </c>
      <c r="J76" s="92">
        <v>25</v>
      </c>
      <c r="K76" s="93">
        <f>+Tabla4[[#This Row],[ISR
(Ley 11-92)
(1*)]]+Tabla4[[#This Row],[Seguro 
de Pensión 
(2.87%) 
 (2*)]]+Tabla4[[#This Row],[Seguro 
de Salud (3.04%)
 (3*)]]+Tabla4[[#This Row],[Otros 
Descuentos]]</f>
        <v>1207</v>
      </c>
      <c r="L76" s="93">
        <f>+Tabla4[[#This Row],[Sueldo Bruto
(RD$)]]-Tabla4[[#This Row],[Total 
de 
Descuento]]</f>
        <v>18793</v>
      </c>
      <c r="M76" s="93" t="s">
        <v>337</v>
      </c>
      <c r="N76" s="96" t="s">
        <v>35</v>
      </c>
      <c r="O76" s="94"/>
      <c r="P76" s="94"/>
      <c r="Q76" s="94"/>
      <c r="R76" s="94"/>
    </row>
    <row r="77" spans="1:18" ht="30" customHeight="1">
      <c r="A77" s="157" t="s">
        <v>197</v>
      </c>
      <c r="B77" s="161" t="s">
        <v>614</v>
      </c>
      <c r="C77" s="92" t="s">
        <v>143</v>
      </c>
      <c r="D77" s="92" t="s">
        <v>404</v>
      </c>
      <c r="E77" s="162">
        <v>44835</v>
      </c>
      <c r="F77" s="163">
        <v>15000</v>
      </c>
      <c r="G77" s="161">
        <v>0</v>
      </c>
      <c r="H77" s="163">
        <v>430.5</v>
      </c>
      <c r="I77" s="163">
        <v>456</v>
      </c>
      <c r="J77" s="161">
        <v>25</v>
      </c>
      <c r="K77" s="163">
        <v>911.5</v>
      </c>
      <c r="L77" s="163">
        <v>14088.5</v>
      </c>
      <c r="M77" s="93" t="s">
        <v>526</v>
      </c>
      <c r="N77" s="164" t="s">
        <v>19</v>
      </c>
      <c r="O77" s="94"/>
      <c r="P77" s="94"/>
      <c r="Q77" s="94"/>
      <c r="R77" s="94"/>
    </row>
    <row r="78" spans="1:18" ht="30" customHeight="1">
      <c r="A78" s="157" t="s">
        <v>199</v>
      </c>
      <c r="B78" s="92" t="s">
        <v>416</v>
      </c>
      <c r="C78" s="92" t="s">
        <v>417</v>
      </c>
      <c r="D78" s="92" t="s">
        <v>369</v>
      </c>
      <c r="E78" s="29">
        <v>44208</v>
      </c>
      <c r="F78" s="93">
        <v>30000</v>
      </c>
      <c r="G78" s="92">
        <v>0</v>
      </c>
      <c r="H78" s="92">
        <v>861</v>
      </c>
      <c r="I78" s="92">
        <v>912</v>
      </c>
      <c r="J78" s="93">
        <v>2037.45</v>
      </c>
      <c r="K78" s="93">
        <v>3810.45</v>
      </c>
      <c r="L78" s="93">
        <v>26189.55</v>
      </c>
      <c r="M78" s="93" t="s">
        <v>526</v>
      </c>
      <c r="N78" s="96" t="s">
        <v>35</v>
      </c>
      <c r="O78" s="94"/>
      <c r="P78" s="94"/>
      <c r="Q78" s="94"/>
      <c r="R78" s="94"/>
    </row>
    <row r="79" spans="1:18" ht="30" customHeight="1">
      <c r="A79" s="157" t="s">
        <v>201</v>
      </c>
      <c r="B79" s="92" t="s">
        <v>418</v>
      </c>
      <c r="C79" s="92" t="s">
        <v>419</v>
      </c>
      <c r="D79" s="92" t="s">
        <v>420</v>
      </c>
      <c r="E79" s="29">
        <v>40756</v>
      </c>
      <c r="F79" s="93">
        <v>75000</v>
      </c>
      <c r="G79" s="114">
        <v>6309.38</v>
      </c>
      <c r="H79" s="93">
        <v>2152.5</v>
      </c>
      <c r="I79" s="93">
        <v>2280</v>
      </c>
      <c r="J79" s="92">
        <v>25</v>
      </c>
      <c r="K79" s="93">
        <f>+Tabla4[[#This Row],[ISR
(Ley 11-92)
(1*)]]+Tabla4[[#This Row],[Seguro 
de Pensión 
(2.87%) 
 (2*)]]+Tabla4[[#This Row],[Seguro 
de Salud (3.04%)
 (3*)]]+Tabla4[[#This Row],[Otros 
Descuentos]]</f>
        <v>10766.880000000001</v>
      </c>
      <c r="L79" s="93">
        <f>+Tabla4[[#This Row],[Sueldo Bruto
(RD$)]]-Tabla4[[#This Row],[Total 
de 
Descuento]]</f>
        <v>64233.119999999995</v>
      </c>
      <c r="M79" s="93" t="s">
        <v>332</v>
      </c>
      <c r="N79" s="96" t="s">
        <v>35</v>
      </c>
      <c r="O79" s="94"/>
      <c r="P79" s="94"/>
      <c r="Q79" s="94"/>
      <c r="R79" s="94"/>
    </row>
    <row r="80" spans="1:18" ht="30" customHeight="1">
      <c r="A80" s="157" t="s">
        <v>203</v>
      </c>
      <c r="B80" s="92" t="s">
        <v>421</v>
      </c>
      <c r="C80" s="92" t="s">
        <v>419</v>
      </c>
      <c r="D80" s="92" t="s">
        <v>160</v>
      </c>
      <c r="E80" s="29">
        <v>38261</v>
      </c>
      <c r="F80" s="93">
        <v>55000</v>
      </c>
      <c r="G80" s="92">
        <v>2559.6799999999998</v>
      </c>
      <c r="H80" s="93">
        <v>1578.5</v>
      </c>
      <c r="I80" s="93">
        <v>1672</v>
      </c>
      <c r="J80" s="92">
        <v>25</v>
      </c>
      <c r="K80" s="93">
        <f>+Tabla4[[#This Row],[ISR
(Ley 11-92)
(1*)]]+Tabla4[[#This Row],[Seguro 
de Pensión 
(2.87%) 
 (2*)]]+Tabla4[[#This Row],[Seguro 
de Salud (3.04%)
 (3*)]]+Tabla4[[#This Row],[Otros 
Descuentos]]</f>
        <v>5835.18</v>
      </c>
      <c r="L80" s="93">
        <f>+Tabla4[[#This Row],[Sueldo Bruto
(RD$)]]-Tabla4[[#This Row],[Total 
de 
Descuento]]</f>
        <v>49164.82</v>
      </c>
      <c r="M80" s="93" t="s">
        <v>337</v>
      </c>
      <c r="N80" s="96" t="s">
        <v>19</v>
      </c>
      <c r="O80" s="94"/>
      <c r="P80" s="94"/>
      <c r="Q80" s="94"/>
      <c r="R80" s="94"/>
    </row>
    <row r="81" spans="1:18" ht="30" customHeight="1">
      <c r="A81" s="157" t="s">
        <v>205</v>
      </c>
      <c r="B81" s="92" t="s">
        <v>422</v>
      </c>
      <c r="C81" s="92" t="s">
        <v>419</v>
      </c>
      <c r="D81" s="92" t="s">
        <v>101</v>
      </c>
      <c r="E81" s="29">
        <v>39965</v>
      </c>
      <c r="F81" s="93">
        <v>42000</v>
      </c>
      <c r="G81" s="92">
        <v>0</v>
      </c>
      <c r="H81" s="93">
        <v>1205.4000000000001</v>
      </c>
      <c r="I81" s="93">
        <v>1276.8</v>
      </c>
      <c r="J81" s="93">
        <v>6924.79</v>
      </c>
      <c r="K81" s="93">
        <v>9406.99</v>
      </c>
      <c r="L81" s="93">
        <v>32593.01</v>
      </c>
      <c r="M81" s="93" t="s">
        <v>332</v>
      </c>
      <c r="N81" s="96" t="s">
        <v>35</v>
      </c>
      <c r="O81" s="94"/>
      <c r="P81" s="94"/>
      <c r="Q81" s="94"/>
      <c r="R81" s="94"/>
    </row>
    <row r="82" spans="1:18" ht="30" customHeight="1">
      <c r="A82" s="157" t="s">
        <v>207</v>
      </c>
      <c r="B82" s="92" t="s">
        <v>423</v>
      </c>
      <c r="C82" s="92" t="s">
        <v>419</v>
      </c>
      <c r="D82" s="92" t="s">
        <v>369</v>
      </c>
      <c r="E82" s="29">
        <v>44319</v>
      </c>
      <c r="F82" s="93">
        <v>30000</v>
      </c>
      <c r="G82" s="92">
        <v>0</v>
      </c>
      <c r="H82" s="92">
        <v>861</v>
      </c>
      <c r="I82" s="92">
        <v>912</v>
      </c>
      <c r="J82" s="92">
        <v>125</v>
      </c>
      <c r="K82" s="93">
        <v>1898</v>
      </c>
      <c r="L82" s="93">
        <v>28102</v>
      </c>
      <c r="M82" s="93" t="s">
        <v>332</v>
      </c>
      <c r="N82" s="96" t="s">
        <v>19</v>
      </c>
      <c r="O82" s="94"/>
      <c r="P82" s="94"/>
      <c r="Q82" s="94"/>
      <c r="R82" s="94"/>
    </row>
    <row r="83" spans="1:18" ht="30" customHeight="1">
      <c r="A83" s="157" t="s">
        <v>209</v>
      </c>
      <c r="B83" s="92" t="s">
        <v>595</v>
      </c>
      <c r="C83" s="92" t="s">
        <v>419</v>
      </c>
      <c r="D83" s="92" t="s">
        <v>594</v>
      </c>
      <c r="E83" s="29">
        <v>33695</v>
      </c>
      <c r="F83" s="93">
        <v>26250</v>
      </c>
      <c r="G83" s="92">
        <v>0</v>
      </c>
      <c r="H83" s="92">
        <v>753.38</v>
      </c>
      <c r="I83" s="92">
        <v>798</v>
      </c>
      <c r="J83" s="92">
        <v>25</v>
      </c>
      <c r="K83" s="93">
        <v>1576.38</v>
      </c>
      <c r="L83" s="93">
        <v>24673.62</v>
      </c>
      <c r="M83" s="93" t="s">
        <v>337</v>
      </c>
      <c r="N83" s="96" t="s">
        <v>596</v>
      </c>
      <c r="O83" s="94"/>
      <c r="P83" s="94"/>
      <c r="Q83" s="94"/>
      <c r="R83" s="94"/>
    </row>
    <row r="84" spans="1:18" ht="30" customHeight="1">
      <c r="A84" s="157" t="s">
        <v>211</v>
      </c>
      <c r="B84" s="92" t="s">
        <v>424</v>
      </c>
      <c r="C84" s="92" t="s">
        <v>419</v>
      </c>
      <c r="D84" s="92" t="s">
        <v>425</v>
      </c>
      <c r="E84" s="29">
        <v>36896</v>
      </c>
      <c r="F84" s="93">
        <v>26250</v>
      </c>
      <c r="G84" s="92">
        <v>0</v>
      </c>
      <c r="H84" s="92">
        <v>753.38</v>
      </c>
      <c r="I84" s="92">
        <v>798</v>
      </c>
      <c r="J84" s="93">
        <v>4465.79</v>
      </c>
      <c r="K84" s="93">
        <v>6017.17</v>
      </c>
      <c r="L84" s="93">
        <f>+Tabla4[[#This Row],[Sueldo Bruto
(RD$)]]-Tabla4[[#This Row],[Total 
de 
Descuento]]</f>
        <v>20232.830000000002</v>
      </c>
      <c r="M84" s="93" t="s">
        <v>526</v>
      </c>
      <c r="N84" s="96" t="s">
        <v>35</v>
      </c>
      <c r="O84" s="94"/>
      <c r="P84" s="94"/>
      <c r="Q84" s="94"/>
      <c r="R84" s="94"/>
    </row>
    <row r="85" spans="1:18" ht="30" customHeight="1">
      <c r="A85" s="157" t="s">
        <v>213</v>
      </c>
      <c r="B85" s="92" t="s">
        <v>426</v>
      </c>
      <c r="C85" s="92" t="s">
        <v>419</v>
      </c>
      <c r="D85" s="92" t="s">
        <v>425</v>
      </c>
      <c r="E85" s="29">
        <v>38961</v>
      </c>
      <c r="F85" s="93">
        <v>26250</v>
      </c>
      <c r="G85" s="92">
        <v>0</v>
      </c>
      <c r="H85" s="92">
        <v>753.38</v>
      </c>
      <c r="I85" s="92">
        <v>798</v>
      </c>
      <c r="J85" s="92">
        <v>25</v>
      </c>
      <c r="K85" s="93">
        <v>1576.38</v>
      </c>
      <c r="L85" s="93">
        <v>24673.62</v>
      </c>
      <c r="M85" s="93" t="s">
        <v>526</v>
      </c>
      <c r="N85" s="96" t="s">
        <v>35</v>
      </c>
      <c r="O85" s="94"/>
      <c r="P85" s="94"/>
      <c r="Q85" s="94"/>
      <c r="R85" s="94"/>
    </row>
    <row r="86" spans="1:18" ht="30" customHeight="1">
      <c r="A86" s="157" t="s">
        <v>215</v>
      </c>
      <c r="B86" s="92" t="s">
        <v>427</v>
      </c>
      <c r="C86" s="92" t="s">
        <v>419</v>
      </c>
      <c r="D86" s="92" t="s">
        <v>425</v>
      </c>
      <c r="E86" s="29">
        <v>43586</v>
      </c>
      <c r="F86" s="93">
        <v>23000</v>
      </c>
      <c r="G86" s="93">
        <v>0</v>
      </c>
      <c r="H86" s="93">
        <v>660.1</v>
      </c>
      <c r="I86" s="93">
        <v>699.2</v>
      </c>
      <c r="J86" s="93">
        <v>9564.7900000000009</v>
      </c>
      <c r="K86" s="93">
        <f>+Tabla4[[#This Row],[ISR
(Ley 11-92)
(1*)]]+Tabla4[[#This Row],[Seguro 
de Pensión 
(2.87%) 
 (2*)]]+Tabla4[[#This Row],[Seguro 
de Salud (3.04%)
 (3*)]]+Tabla4[[#This Row],[Otros 
Descuentos]]</f>
        <v>10924.09</v>
      </c>
      <c r="L86" s="93">
        <f>+Tabla4[[#This Row],[Sueldo Bruto
(RD$)]]-Tabla4[[#This Row],[Total 
de 
Descuento]]</f>
        <v>12075.91</v>
      </c>
      <c r="M86" s="93" t="s">
        <v>526</v>
      </c>
      <c r="N86" s="96" t="s">
        <v>35</v>
      </c>
      <c r="O86" s="94"/>
      <c r="P86" s="94"/>
      <c r="Q86" s="94"/>
      <c r="R86" s="94"/>
    </row>
    <row r="87" spans="1:18" ht="30" customHeight="1">
      <c r="A87" s="157" t="s">
        <v>217</v>
      </c>
      <c r="B87" s="92" t="s">
        <v>428</v>
      </c>
      <c r="C87" s="92" t="s">
        <v>419</v>
      </c>
      <c r="D87" s="92" t="s">
        <v>425</v>
      </c>
      <c r="E87" s="29">
        <v>44305</v>
      </c>
      <c r="F87" s="93">
        <v>21000</v>
      </c>
      <c r="G87" s="93">
        <v>0</v>
      </c>
      <c r="H87" s="93">
        <v>602.70000000000005</v>
      </c>
      <c r="I87" s="93">
        <v>638.4</v>
      </c>
      <c r="J87" s="114">
        <v>3225</v>
      </c>
      <c r="K87" s="93">
        <v>4466.1000000000004</v>
      </c>
      <c r="L87" s="93">
        <v>16533.900000000001</v>
      </c>
      <c r="M87" s="93" t="s">
        <v>526</v>
      </c>
      <c r="N87" s="96" t="s">
        <v>35</v>
      </c>
      <c r="O87" s="94"/>
      <c r="P87" s="94"/>
      <c r="Q87" s="94"/>
      <c r="R87" s="94"/>
    </row>
    <row r="88" spans="1:18" ht="30" customHeight="1">
      <c r="A88" s="157" t="s">
        <v>221</v>
      </c>
      <c r="B88" s="92" t="s">
        <v>429</v>
      </c>
      <c r="C88" s="92" t="s">
        <v>419</v>
      </c>
      <c r="D88" s="92" t="s">
        <v>425</v>
      </c>
      <c r="E88" s="29">
        <v>44550</v>
      </c>
      <c r="F88" s="93">
        <v>22000</v>
      </c>
      <c r="G88" s="93">
        <v>0</v>
      </c>
      <c r="H88" s="93">
        <v>631.4</v>
      </c>
      <c r="I88" s="93">
        <v>668.8</v>
      </c>
      <c r="J88" s="92">
        <v>25</v>
      </c>
      <c r="K88" s="93">
        <v>1325.2</v>
      </c>
      <c r="L88" s="93">
        <v>20674.8</v>
      </c>
      <c r="M88" s="93" t="s">
        <v>526</v>
      </c>
      <c r="N88" s="96" t="s">
        <v>35</v>
      </c>
      <c r="O88" s="94"/>
      <c r="P88" s="94"/>
      <c r="Q88" s="94"/>
      <c r="R88" s="94"/>
    </row>
    <row r="89" spans="1:18" ht="30" customHeight="1">
      <c r="A89" s="157" t="s">
        <v>223</v>
      </c>
      <c r="B89" s="92" t="s">
        <v>430</v>
      </c>
      <c r="C89" s="92" t="s">
        <v>147</v>
      </c>
      <c r="D89" s="92" t="s">
        <v>431</v>
      </c>
      <c r="E89" s="29">
        <v>41276</v>
      </c>
      <c r="F89" s="93">
        <v>110000</v>
      </c>
      <c r="G89" s="93">
        <v>14457.62</v>
      </c>
      <c r="H89" s="93">
        <v>3157</v>
      </c>
      <c r="I89" s="93">
        <v>3344</v>
      </c>
      <c r="J89" s="92">
        <v>25</v>
      </c>
      <c r="K89" s="93">
        <v>20983.62</v>
      </c>
      <c r="L89" s="93">
        <v>89016.38</v>
      </c>
      <c r="M89" s="93" t="s">
        <v>332</v>
      </c>
      <c r="N89" s="96" t="s">
        <v>19</v>
      </c>
      <c r="O89" s="94"/>
      <c r="P89" s="94"/>
      <c r="Q89" s="94"/>
      <c r="R89" s="94"/>
    </row>
    <row r="90" spans="1:18" s="94" customFormat="1" ht="30" customHeight="1">
      <c r="A90" s="157" t="s">
        <v>227</v>
      </c>
      <c r="B90" s="92" t="s">
        <v>585</v>
      </c>
      <c r="C90" s="92" t="s">
        <v>147</v>
      </c>
      <c r="D90" s="92" t="s">
        <v>148</v>
      </c>
      <c r="E90" s="29">
        <v>44743</v>
      </c>
      <c r="F90" s="93">
        <v>65000</v>
      </c>
      <c r="G90" s="93">
        <v>4125.09</v>
      </c>
      <c r="H90" s="93">
        <v>1865.5</v>
      </c>
      <c r="I90" s="93">
        <v>1976</v>
      </c>
      <c r="J90" s="114">
        <v>11537.45</v>
      </c>
      <c r="K90" s="93">
        <f>+Tabla4[[#This Row],[ISR
(Ley 11-92)
(1*)]]+Tabla4[[#This Row],[Seguro 
de Pensión 
(2.87%) 
 (2*)]]+Tabla4[[#This Row],[Seguro 
de Salud (3.04%)
 (3*)]]+Tabla4[[#This Row],[Otros 
Descuentos]]</f>
        <v>19504.04</v>
      </c>
      <c r="L90" s="93">
        <f>+Tabla4[[#This Row],[Sueldo Bruto
(RD$)]]-Tabla4[[#This Row],[Total 
de 
Descuento]]</f>
        <v>45495.96</v>
      </c>
      <c r="M90" s="93" t="s">
        <v>337</v>
      </c>
      <c r="N90" s="96" t="s">
        <v>19</v>
      </c>
    </row>
    <row r="91" spans="1:18" s="94" customFormat="1" ht="30" customHeight="1">
      <c r="A91" s="157" t="s">
        <v>229</v>
      </c>
      <c r="B91" s="92" t="s">
        <v>432</v>
      </c>
      <c r="C91" s="92" t="s">
        <v>147</v>
      </c>
      <c r="D91" s="92" t="s">
        <v>433</v>
      </c>
      <c r="E91" s="29">
        <v>41715</v>
      </c>
      <c r="F91" s="93">
        <v>65000</v>
      </c>
      <c r="G91" s="93">
        <v>4427.58</v>
      </c>
      <c r="H91" s="93">
        <v>1865.5</v>
      </c>
      <c r="I91" s="93">
        <v>1976</v>
      </c>
      <c r="J91" s="92">
        <v>125</v>
      </c>
      <c r="K91" s="93">
        <v>8394.08</v>
      </c>
      <c r="L91" s="93">
        <v>56605.919999999998</v>
      </c>
      <c r="M91" s="93" t="s">
        <v>332</v>
      </c>
      <c r="N91" s="96" t="s">
        <v>35</v>
      </c>
    </row>
    <row r="92" spans="1:18" s="94" customFormat="1" ht="30" customHeight="1">
      <c r="A92" s="157" t="s">
        <v>232</v>
      </c>
      <c r="B92" s="92" t="s">
        <v>434</v>
      </c>
      <c r="C92" s="92" t="s">
        <v>219</v>
      </c>
      <c r="D92" s="92" t="s">
        <v>435</v>
      </c>
      <c r="E92" s="29">
        <v>41932</v>
      </c>
      <c r="F92" s="93">
        <v>125000</v>
      </c>
      <c r="G92" s="93">
        <v>17985.990000000002</v>
      </c>
      <c r="H92" s="93">
        <v>3587.5</v>
      </c>
      <c r="I92" s="93">
        <v>3800</v>
      </c>
      <c r="J92" s="93">
        <v>7525</v>
      </c>
      <c r="K92" s="93">
        <v>32898.49</v>
      </c>
      <c r="L92" s="93">
        <v>92101.51</v>
      </c>
      <c r="M92" s="93" t="s">
        <v>332</v>
      </c>
      <c r="N92" s="96" t="s">
        <v>35</v>
      </c>
    </row>
    <row r="93" spans="1:18" s="94" customFormat="1" ht="30" customHeight="1">
      <c r="A93" s="157" t="s">
        <v>235</v>
      </c>
      <c r="B93" s="92" t="s">
        <v>436</v>
      </c>
      <c r="C93" s="92" t="s">
        <v>219</v>
      </c>
      <c r="D93" s="92" t="s">
        <v>94</v>
      </c>
      <c r="E93" s="29">
        <v>42036</v>
      </c>
      <c r="F93" s="93">
        <v>95000</v>
      </c>
      <c r="G93" s="93">
        <v>10929.24</v>
      </c>
      <c r="H93" s="93">
        <v>2726.5</v>
      </c>
      <c r="I93" s="93">
        <v>2888</v>
      </c>
      <c r="J93" s="93">
        <v>10371.48</v>
      </c>
      <c r="K93" s="93">
        <f>+Tabla4[[#This Row],[ISR
(Ley 11-92)
(1*)]]+Tabla4[[#This Row],[Seguro 
de Pensión 
(2.87%) 
 (2*)]]+Tabla4[[#This Row],[Seguro 
de Salud (3.04%)
 (3*)]]+Tabla4[[#This Row],[Otros 
Descuentos]]</f>
        <v>26915.219999999998</v>
      </c>
      <c r="L93" s="93">
        <f>+Tabla4[[#This Row],[Sueldo Bruto
(RD$)]]-Tabla4[[#This Row],[Total 
de 
Descuento]]</f>
        <v>68084.78</v>
      </c>
      <c r="M93" s="93" t="s">
        <v>332</v>
      </c>
      <c r="N93" s="96" t="s">
        <v>35</v>
      </c>
    </row>
    <row r="94" spans="1:18" s="94" customFormat="1" ht="30" customHeight="1">
      <c r="A94" s="157" t="s">
        <v>237</v>
      </c>
      <c r="B94" s="92" t="s">
        <v>437</v>
      </c>
      <c r="C94" s="92" t="s">
        <v>219</v>
      </c>
      <c r="D94" s="92" t="s">
        <v>616</v>
      </c>
      <c r="E94" s="29">
        <v>43172</v>
      </c>
      <c r="F94" s="93">
        <v>85000</v>
      </c>
      <c r="G94" s="93">
        <v>8576.99</v>
      </c>
      <c r="H94" s="93">
        <v>2439.5</v>
      </c>
      <c r="I94" s="93">
        <v>2584</v>
      </c>
      <c r="J94" s="92">
        <v>25</v>
      </c>
      <c r="K94" s="93">
        <f>+Tabla4[[#This Row],[ISR
(Ley 11-92)
(1*)]]+Tabla4[[#This Row],[Seguro 
de Pensión 
(2.87%) 
 (2*)]]+Tabla4[[#This Row],[Seguro 
de Salud (3.04%)
 (3*)]]+Tabla4[[#This Row],[Otros 
Descuentos]]</f>
        <v>13625.49</v>
      </c>
      <c r="L94" s="93">
        <f>+Tabla4[[#This Row],[Sueldo Bruto
(RD$)]]-Tabla4[[#This Row],[Total 
de 
Descuento]]</f>
        <v>71374.509999999995</v>
      </c>
      <c r="M94" s="93" t="s">
        <v>332</v>
      </c>
      <c r="N94" s="96" t="s">
        <v>19</v>
      </c>
    </row>
    <row r="95" spans="1:18" s="94" customFormat="1" ht="30" customHeight="1">
      <c r="A95" s="157" t="s">
        <v>239</v>
      </c>
      <c r="B95" s="92" t="s">
        <v>438</v>
      </c>
      <c r="C95" s="92" t="s">
        <v>173</v>
      </c>
      <c r="D95" s="92" t="s">
        <v>439</v>
      </c>
      <c r="E95" s="29">
        <v>40238</v>
      </c>
      <c r="F95" s="93">
        <v>145000</v>
      </c>
      <c r="G95" s="93">
        <v>22690.49</v>
      </c>
      <c r="H95" s="93">
        <v>4161.5</v>
      </c>
      <c r="I95" s="93">
        <v>4408</v>
      </c>
      <c r="J95" s="93">
        <v>5025</v>
      </c>
      <c r="K95" s="93">
        <f>+Tabla4[[#This Row],[ISR
(Ley 11-92)
(1*)]]+Tabla4[[#This Row],[Seguro 
de Pensión 
(2.87%) 
 (2*)]]+Tabla4[[#This Row],[Seguro 
de Salud (3.04%)
 (3*)]]+Tabla4[[#This Row],[Otros 
Descuentos]]</f>
        <v>36284.990000000005</v>
      </c>
      <c r="L95" s="93">
        <f>+Tabla4[[#This Row],[Sueldo Bruto
(RD$)]]-Tabla4[[#This Row],[Total 
de 
Descuento]]</f>
        <v>108715.01</v>
      </c>
      <c r="M95" s="93" t="s">
        <v>337</v>
      </c>
      <c r="N95" s="96" t="s">
        <v>19</v>
      </c>
    </row>
    <row r="96" spans="1:18" s="94" customFormat="1" ht="30" customHeight="1">
      <c r="A96" s="157" t="s">
        <v>241</v>
      </c>
      <c r="B96" s="92" t="s">
        <v>440</v>
      </c>
      <c r="C96" s="92" t="s">
        <v>173</v>
      </c>
      <c r="D96" s="92" t="s">
        <v>160</v>
      </c>
      <c r="E96" s="29">
        <v>41730</v>
      </c>
      <c r="F96" s="93">
        <v>65000</v>
      </c>
      <c r="G96" s="93">
        <v>4125.09</v>
      </c>
      <c r="H96" s="93">
        <v>1865.5</v>
      </c>
      <c r="I96" s="93">
        <v>1976</v>
      </c>
      <c r="J96" s="93">
        <v>9759.23</v>
      </c>
      <c r="K96" s="93">
        <v>17725.82</v>
      </c>
      <c r="L96" s="93">
        <v>47274.18</v>
      </c>
      <c r="M96" s="93" t="s">
        <v>332</v>
      </c>
      <c r="N96" s="96" t="s">
        <v>19</v>
      </c>
    </row>
    <row r="97" spans="1:18" s="94" customFormat="1" ht="30" customHeight="1">
      <c r="A97" s="157" t="s">
        <v>243</v>
      </c>
      <c r="B97" s="92" t="s">
        <v>442</v>
      </c>
      <c r="C97" s="92" t="s">
        <v>173</v>
      </c>
      <c r="D97" s="92" t="s">
        <v>443</v>
      </c>
      <c r="E97" s="29">
        <v>44531</v>
      </c>
      <c r="F97" s="93">
        <v>35000</v>
      </c>
      <c r="G97" s="92">
        <v>0</v>
      </c>
      <c r="H97" s="93">
        <v>1004.5</v>
      </c>
      <c r="I97" s="93">
        <v>1064</v>
      </c>
      <c r="J97" s="92">
        <v>25</v>
      </c>
      <c r="K97" s="93">
        <v>2093.5</v>
      </c>
      <c r="L97" s="93">
        <v>32906.5</v>
      </c>
      <c r="M97" s="93" t="s">
        <v>332</v>
      </c>
      <c r="N97" s="96" t="s">
        <v>35</v>
      </c>
    </row>
    <row r="98" spans="1:18" s="94" customFormat="1" ht="30" customHeight="1">
      <c r="A98" s="157" t="s">
        <v>245</v>
      </c>
      <c r="B98" s="92" t="s">
        <v>445</v>
      </c>
      <c r="C98" s="92" t="s">
        <v>188</v>
      </c>
      <c r="D98" s="92" t="s">
        <v>64</v>
      </c>
      <c r="E98" s="29">
        <v>42689</v>
      </c>
      <c r="F98" s="93">
        <v>125000</v>
      </c>
      <c r="G98" s="93">
        <v>17985.990000000002</v>
      </c>
      <c r="H98" s="93">
        <v>3587.5</v>
      </c>
      <c r="I98" s="93">
        <v>3800</v>
      </c>
      <c r="J98" s="92">
        <v>25</v>
      </c>
      <c r="K98" s="93">
        <v>25398.49</v>
      </c>
      <c r="L98" s="93">
        <v>99601.51</v>
      </c>
      <c r="M98" s="93" t="s">
        <v>332</v>
      </c>
      <c r="N98" s="96" t="s">
        <v>19</v>
      </c>
    </row>
    <row r="99" spans="1:18" s="94" customFormat="1" ht="30" customHeight="1">
      <c r="A99" s="157" t="s">
        <v>247</v>
      </c>
      <c r="B99" s="92" t="s">
        <v>446</v>
      </c>
      <c r="C99" s="92" t="s">
        <v>188</v>
      </c>
      <c r="D99" s="92" t="s">
        <v>176</v>
      </c>
      <c r="E99" s="29">
        <v>43010</v>
      </c>
      <c r="F99" s="93">
        <v>80000</v>
      </c>
      <c r="G99" s="114">
        <v>7400.87</v>
      </c>
      <c r="H99" s="93">
        <v>2296</v>
      </c>
      <c r="I99" s="93">
        <v>2432</v>
      </c>
      <c r="J99" s="92">
        <v>599.84</v>
      </c>
      <c r="K99" s="93">
        <f>+Tabla4[[#This Row],[ISR
(Ley 11-92)
(1*)]]+Tabla4[[#This Row],[Seguro 
de Pensión 
(2.87%) 
 (2*)]]+Tabla4[[#This Row],[Seguro 
de Salud (3.04%)
 (3*)]]+Tabla4[[#This Row],[Otros 
Descuentos]]</f>
        <v>12728.71</v>
      </c>
      <c r="L99" s="93">
        <f>+Tabla4[[#This Row],[Sueldo Bruto
(RD$)]]-Tabla4[[#This Row],[Total 
de 
Descuento]]</f>
        <v>67271.290000000008</v>
      </c>
      <c r="M99" s="93" t="s">
        <v>332</v>
      </c>
      <c r="N99" s="96" t="s">
        <v>35</v>
      </c>
    </row>
    <row r="100" spans="1:18" s="94" customFormat="1" ht="30" customHeight="1">
      <c r="A100" s="157" t="s">
        <v>248</v>
      </c>
      <c r="B100" s="92" t="s">
        <v>447</v>
      </c>
      <c r="C100" s="92" t="s">
        <v>188</v>
      </c>
      <c r="D100" s="92" t="s">
        <v>176</v>
      </c>
      <c r="E100" s="29">
        <v>42675</v>
      </c>
      <c r="F100" s="93">
        <v>80000</v>
      </c>
      <c r="G100" s="114">
        <v>5863.23</v>
      </c>
      <c r="H100" s="93">
        <v>2296</v>
      </c>
      <c r="I100" s="93">
        <v>2432</v>
      </c>
      <c r="J100" s="93">
        <v>3049.9</v>
      </c>
      <c r="K100" s="93">
        <f>+Tabla4[[#This Row],[ISR
(Ley 11-92)
(1*)]]+Tabla4[[#This Row],[Seguro 
de Pensión 
(2.87%) 
 (2*)]]+Tabla4[[#This Row],[Seguro 
de Salud (3.04%)
 (3*)]]+Tabla4[[#This Row],[Otros 
Descuentos]]</f>
        <v>13641.13</v>
      </c>
      <c r="L100" s="93">
        <f>+Tabla4[[#This Row],[Sueldo Bruto
(RD$)]]-Tabla4[[#This Row],[Total 
de 
Descuento]]</f>
        <v>66358.87</v>
      </c>
      <c r="M100" s="93" t="s">
        <v>332</v>
      </c>
      <c r="N100" s="96" t="s">
        <v>19</v>
      </c>
    </row>
    <row r="101" spans="1:18" ht="30" customHeight="1">
      <c r="A101" s="157" t="s">
        <v>250</v>
      </c>
      <c r="B101" s="92" t="s">
        <v>448</v>
      </c>
      <c r="C101" s="92" t="s">
        <v>188</v>
      </c>
      <c r="D101" s="92" t="s">
        <v>449</v>
      </c>
      <c r="E101" s="29">
        <v>43017</v>
      </c>
      <c r="F101" s="93">
        <v>42000</v>
      </c>
      <c r="G101" s="92">
        <v>724.92</v>
      </c>
      <c r="H101" s="93">
        <v>1205.4000000000001</v>
      </c>
      <c r="I101" s="93">
        <v>1276.8</v>
      </c>
      <c r="J101" s="114">
        <v>1525</v>
      </c>
      <c r="K101" s="93">
        <f>+Tabla4[[#This Row],[ISR
(Ley 11-92)
(1*)]]+Tabla4[[#This Row],[Seguro 
de Pensión 
(2.87%) 
 (2*)]]+Tabla4[[#This Row],[Seguro 
de Salud (3.04%)
 (3*)]]+Tabla4[[#This Row],[Otros 
Descuentos]]</f>
        <v>4732.12</v>
      </c>
      <c r="L101" s="93">
        <f>+Tabla4[[#This Row],[Sueldo Bruto
(RD$)]]-Tabla4[[#This Row],[Total 
de 
Descuento]]</f>
        <v>37267.879999999997</v>
      </c>
      <c r="M101" s="93" t="s">
        <v>332</v>
      </c>
      <c r="N101" s="96" t="s">
        <v>19</v>
      </c>
      <c r="O101" s="94"/>
      <c r="P101" s="94"/>
      <c r="Q101" s="94"/>
      <c r="R101" s="94"/>
    </row>
    <row r="102" spans="1:18" ht="30" customHeight="1">
      <c r="A102" s="157" t="s">
        <v>252</v>
      </c>
      <c r="B102" s="92" t="s">
        <v>450</v>
      </c>
      <c r="C102" s="92" t="s">
        <v>188</v>
      </c>
      <c r="D102" s="92" t="s">
        <v>369</v>
      </c>
      <c r="E102" s="29">
        <v>44305</v>
      </c>
      <c r="F102" s="93">
        <v>30000</v>
      </c>
      <c r="G102" s="92">
        <v>0</v>
      </c>
      <c r="H102" s="92">
        <v>861</v>
      </c>
      <c r="I102" s="92">
        <v>912</v>
      </c>
      <c r="J102" s="93">
        <v>5633.46</v>
      </c>
      <c r="K102" s="93">
        <v>7406.46</v>
      </c>
      <c r="L102" s="93">
        <v>22593.54</v>
      </c>
      <c r="M102" s="93" t="s">
        <v>332</v>
      </c>
      <c r="N102" s="96" t="s">
        <v>19</v>
      </c>
      <c r="O102" s="94"/>
      <c r="P102" s="94"/>
      <c r="Q102" s="94"/>
      <c r="R102" s="94"/>
    </row>
    <row r="103" spans="1:18" ht="30" customHeight="1">
      <c r="A103" s="157" t="s">
        <v>254</v>
      </c>
      <c r="B103" s="92" t="s">
        <v>451</v>
      </c>
      <c r="C103" s="92" t="s">
        <v>452</v>
      </c>
      <c r="D103" s="92" t="s">
        <v>453</v>
      </c>
      <c r="E103" s="29">
        <v>42036</v>
      </c>
      <c r="F103" s="93">
        <v>110000</v>
      </c>
      <c r="G103" s="93">
        <v>14457.62</v>
      </c>
      <c r="H103" s="93">
        <v>3157</v>
      </c>
      <c r="I103" s="93">
        <v>3344</v>
      </c>
      <c r="J103" s="93">
        <v>1125</v>
      </c>
      <c r="K103" s="93">
        <v>22083.62</v>
      </c>
      <c r="L103" s="93">
        <v>87916.38</v>
      </c>
      <c r="M103" s="93" t="s">
        <v>332</v>
      </c>
      <c r="N103" s="96" t="s">
        <v>35</v>
      </c>
      <c r="O103" s="94"/>
      <c r="P103" s="94"/>
      <c r="Q103" s="94"/>
      <c r="R103" s="94"/>
    </row>
    <row r="104" spans="1:18" ht="30" customHeight="1">
      <c r="A104" s="157" t="s">
        <v>256</v>
      </c>
      <c r="B104" s="92" t="s">
        <v>454</v>
      </c>
      <c r="C104" s="92" t="s">
        <v>452</v>
      </c>
      <c r="D104" s="92" t="s">
        <v>455</v>
      </c>
      <c r="E104" s="29">
        <v>42217</v>
      </c>
      <c r="F104" s="93">
        <v>125000</v>
      </c>
      <c r="G104" s="93">
        <v>17985.990000000002</v>
      </c>
      <c r="H104" s="93">
        <v>3587.5</v>
      </c>
      <c r="I104" s="93">
        <v>3800</v>
      </c>
      <c r="J104" s="92">
        <v>25</v>
      </c>
      <c r="K104" s="93">
        <v>25398.49</v>
      </c>
      <c r="L104" s="93">
        <v>99601.51</v>
      </c>
      <c r="M104" s="93" t="s">
        <v>332</v>
      </c>
      <c r="N104" s="96" t="s">
        <v>35</v>
      </c>
      <c r="O104" s="94"/>
      <c r="P104" s="94"/>
      <c r="Q104" s="94"/>
      <c r="R104" s="94"/>
    </row>
    <row r="105" spans="1:18" ht="30" customHeight="1">
      <c r="A105" s="157" t="s">
        <v>259</v>
      </c>
      <c r="B105" s="92" t="s">
        <v>457</v>
      </c>
      <c r="C105" s="92" t="s">
        <v>225</v>
      </c>
      <c r="D105" s="92" t="s">
        <v>458</v>
      </c>
      <c r="E105" s="29">
        <v>39661</v>
      </c>
      <c r="F105" s="93">
        <v>135000</v>
      </c>
      <c r="G105" s="93">
        <v>20338.240000000002</v>
      </c>
      <c r="H105" s="93">
        <v>3874.5</v>
      </c>
      <c r="I105" s="93">
        <v>4104</v>
      </c>
      <c r="J105" s="92">
        <v>25</v>
      </c>
      <c r="K105" s="93">
        <v>28341.74</v>
      </c>
      <c r="L105" s="93">
        <v>106658.26</v>
      </c>
      <c r="M105" s="93" t="s">
        <v>337</v>
      </c>
      <c r="N105" s="96" t="s">
        <v>19</v>
      </c>
      <c r="O105" s="94"/>
      <c r="P105" s="94"/>
      <c r="Q105" s="94"/>
      <c r="R105" s="94"/>
    </row>
    <row r="106" spans="1:18" ht="30" customHeight="1">
      <c r="A106" s="157" t="s">
        <v>261</v>
      </c>
      <c r="B106" s="92" t="s">
        <v>459</v>
      </c>
      <c r="C106" s="92" t="s">
        <v>225</v>
      </c>
      <c r="D106" s="92" t="s">
        <v>17</v>
      </c>
      <c r="E106" s="29">
        <v>42767</v>
      </c>
      <c r="F106" s="93">
        <v>85000</v>
      </c>
      <c r="G106" s="93">
        <v>8576.99</v>
      </c>
      <c r="H106" s="93">
        <v>2439.5</v>
      </c>
      <c r="I106" s="93">
        <v>2584</v>
      </c>
      <c r="J106" s="92">
        <v>725</v>
      </c>
      <c r="K106" s="93">
        <v>14325.49</v>
      </c>
      <c r="L106" s="93">
        <v>70674.509999999995</v>
      </c>
      <c r="M106" s="93" t="s">
        <v>332</v>
      </c>
      <c r="N106" s="96" t="s">
        <v>19</v>
      </c>
      <c r="O106" s="94"/>
      <c r="P106" s="94"/>
      <c r="Q106" s="94"/>
      <c r="R106" s="94"/>
    </row>
    <row r="107" spans="1:18" ht="30" customHeight="1">
      <c r="A107" s="157" t="s">
        <v>264</v>
      </c>
      <c r="B107" s="92" t="s">
        <v>460</v>
      </c>
      <c r="C107" s="92" t="s">
        <v>225</v>
      </c>
      <c r="D107" s="92" t="s">
        <v>461</v>
      </c>
      <c r="E107" s="29">
        <v>43040</v>
      </c>
      <c r="F107" s="93">
        <v>85000</v>
      </c>
      <c r="G107" s="114">
        <v>8576.99</v>
      </c>
      <c r="H107" s="93">
        <v>2439.5</v>
      </c>
      <c r="I107" s="93">
        <v>2584</v>
      </c>
      <c r="J107" s="93">
        <v>15125</v>
      </c>
      <c r="K107" s="93">
        <f>+Tabla4[[#This Row],[ISR
(Ley 11-92)
(1*)]]+Tabla4[[#This Row],[Seguro 
de Pensión 
(2.87%) 
 (2*)]]+Tabla4[[#This Row],[Seguro 
de Salud (3.04%)
 (3*)]]+Tabla4[[#This Row],[Otros 
Descuentos]]</f>
        <v>28725.489999999998</v>
      </c>
      <c r="L107" s="93">
        <f>+Tabla4[[#This Row],[Sueldo Bruto
(RD$)]]-Tabla4[[#This Row],[Total 
de 
Descuento]]</f>
        <v>56274.51</v>
      </c>
      <c r="M107" s="93" t="s">
        <v>332</v>
      </c>
      <c r="N107" s="96" t="s">
        <v>19</v>
      </c>
      <c r="O107" s="94"/>
      <c r="P107" s="94"/>
      <c r="Q107" s="94"/>
      <c r="R107" s="94"/>
    </row>
    <row r="108" spans="1:18" ht="30" customHeight="1">
      <c r="A108" s="157" t="s">
        <v>266</v>
      </c>
      <c r="B108" s="92" t="s">
        <v>462</v>
      </c>
      <c r="C108" s="92" t="s">
        <v>225</v>
      </c>
      <c r="D108" s="92" t="s">
        <v>461</v>
      </c>
      <c r="E108" s="29">
        <v>42036</v>
      </c>
      <c r="F108" s="93">
        <v>70000</v>
      </c>
      <c r="G108" s="93">
        <v>5368.48</v>
      </c>
      <c r="H108" s="93">
        <v>2009</v>
      </c>
      <c r="I108" s="93">
        <v>2128</v>
      </c>
      <c r="J108" s="92">
        <v>125</v>
      </c>
      <c r="K108" s="93">
        <f>+Tabla4[[#This Row],[ISR
(Ley 11-92)
(1*)]]+Tabla4[[#This Row],[Seguro 
de Pensión 
(2.87%) 
 (2*)]]+Tabla4[[#This Row],[Seguro 
de Salud (3.04%)
 (3*)]]+Tabla4[[#This Row],[Otros 
Descuentos]]</f>
        <v>9630.48</v>
      </c>
      <c r="L108" s="93">
        <f>+Tabla4[[#This Row],[Sueldo Bruto
(RD$)]]-Tabla4[[#This Row],[Total 
de 
Descuento]]</f>
        <v>60369.520000000004</v>
      </c>
      <c r="M108" s="93" t="s">
        <v>332</v>
      </c>
      <c r="N108" s="96" t="s">
        <v>35</v>
      </c>
      <c r="O108" s="94"/>
      <c r="P108" s="94"/>
      <c r="Q108" s="94"/>
      <c r="R108" s="94"/>
    </row>
    <row r="109" spans="1:18" ht="30" customHeight="1">
      <c r="A109" s="157" t="s">
        <v>268</v>
      </c>
      <c r="B109" s="92" t="s">
        <v>463</v>
      </c>
      <c r="C109" s="92" t="s">
        <v>225</v>
      </c>
      <c r="D109" s="92" t="s">
        <v>461</v>
      </c>
      <c r="E109" s="29">
        <v>43252</v>
      </c>
      <c r="F109" s="93">
        <v>70000</v>
      </c>
      <c r="G109" s="93">
        <v>4347.5200000000004</v>
      </c>
      <c r="H109" s="93">
        <v>2009</v>
      </c>
      <c r="I109" s="93">
        <v>2128</v>
      </c>
      <c r="J109" s="93">
        <v>4318.2299999999996</v>
      </c>
      <c r="K109" s="93">
        <f>+Tabla4[[#This Row],[ISR
(Ley 11-92)
(1*)]]+Tabla4[[#This Row],[Seguro 
de Pensión 
(2.87%) 
 (2*)]]+Tabla4[[#This Row],[Seguro 
de Salud (3.04%)
 (3*)]]+Tabla4[[#This Row],[Otros 
Descuentos]]</f>
        <v>12802.75</v>
      </c>
      <c r="L109" s="93">
        <f>+Tabla4[[#This Row],[Sueldo Bruto
(RD$)]]-Tabla4[[#This Row],[Total 
de 
Descuento]]</f>
        <v>57197.25</v>
      </c>
      <c r="M109" s="93" t="s">
        <v>332</v>
      </c>
      <c r="N109" s="96" t="s">
        <v>19</v>
      </c>
      <c r="O109" s="94"/>
      <c r="P109" s="94"/>
      <c r="Q109" s="94"/>
      <c r="R109" s="94"/>
    </row>
    <row r="110" spans="1:18" ht="30" customHeight="1">
      <c r="A110" s="157" t="s">
        <v>269</v>
      </c>
      <c r="B110" s="92" t="s">
        <v>464</v>
      </c>
      <c r="C110" s="92" t="s">
        <v>225</v>
      </c>
      <c r="D110" s="92" t="s">
        <v>461</v>
      </c>
      <c r="E110" s="29">
        <v>43252</v>
      </c>
      <c r="F110" s="93">
        <v>70000</v>
      </c>
      <c r="G110" s="93">
        <v>5368.48</v>
      </c>
      <c r="H110" s="93">
        <v>2009</v>
      </c>
      <c r="I110" s="93">
        <v>2128</v>
      </c>
      <c r="J110" s="92">
        <v>25</v>
      </c>
      <c r="K110" s="93">
        <v>9530.48</v>
      </c>
      <c r="L110" s="93">
        <v>60469.52</v>
      </c>
      <c r="M110" s="93" t="s">
        <v>332</v>
      </c>
      <c r="N110" s="96" t="s">
        <v>19</v>
      </c>
      <c r="O110" s="94"/>
      <c r="P110" s="94"/>
      <c r="Q110" s="94"/>
      <c r="R110" s="94"/>
    </row>
    <row r="111" spans="1:18" ht="30" customHeight="1">
      <c r="A111" s="157" t="s">
        <v>271</v>
      </c>
      <c r="B111" s="92" t="s">
        <v>465</v>
      </c>
      <c r="C111" s="92" t="s">
        <v>225</v>
      </c>
      <c r="D111" s="92" t="s">
        <v>461</v>
      </c>
      <c r="E111" s="29">
        <v>43252</v>
      </c>
      <c r="F111" s="93">
        <v>70000</v>
      </c>
      <c r="G111" s="93">
        <v>4595.88</v>
      </c>
      <c r="H111" s="93">
        <v>2009</v>
      </c>
      <c r="I111" s="93">
        <v>2128</v>
      </c>
      <c r="J111" s="93">
        <v>2025</v>
      </c>
      <c r="K111" s="93">
        <f>+Tabla4[[#This Row],[ISR
(Ley 11-92)
(1*)]]+Tabla4[[#This Row],[Seguro 
de Pensión 
(2.87%) 
 (2*)]]+Tabla4[[#This Row],[Seguro 
de Salud (3.04%)
 (3*)]]+Tabla4[[#This Row],[Otros 
Descuentos]]</f>
        <v>10757.880000000001</v>
      </c>
      <c r="L111" s="93">
        <f>+Tabla4[[#This Row],[Sueldo Bruto
(RD$)]]-Tabla4[[#This Row],[Total 
de 
Descuento]]</f>
        <v>59242.119999999995</v>
      </c>
      <c r="M111" s="93" t="s">
        <v>332</v>
      </c>
      <c r="N111" s="96" t="s">
        <v>19</v>
      </c>
      <c r="O111" s="94"/>
      <c r="P111" s="94"/>
      <c r="Q111" s="94"/>
      <c r="R111" s="94"/>
    </row>
    <row r="112" spans="1:18" ht="30" customHeight="1">
      <c r="A112" s="157" t="s">
        <v>273</v>
      </c>
      <c r="B112" s="92" t="s">
        <v>467</v>
      </c>
      <c r="C112" s="92" t="s">
        <v>225</v>
      </c>
      <c r="D112" s="92" t="s">
        <v>461</v>
      </c>
      <c r="E112" s="165" t="s">
        <v>608</v>
      </c>
      <c r="F112" s="93">
        <v>70000</v>
      </c>
      <c r="G112" s="93">
        <v>5065.99</v>
      </c>
      <c r="H112" s="93">
        <v>2009</v>
      </c>
      <c r="I112" s="93">
        <v>2128</v>
      </c>
      <c r="J112" s="93">
        <v>1537.45</v>
      </c>
      <c r="K112" s="93">
        <v>10740.44</v>
      </c>
      <c r="L112" s="93">
        <v>59259.56</v>
      </c>
      <c r="M112" s="93" t="s">
        <v>332</v>
      </c>
      <c r="N112" s="96" t="s">
        <v>19</v>
      </c>
      <c r="O112" s="94"/>
      <c r="P112" s="94"/>
      <c r="Q112" s="94"/>
      <c r="R112" s="94"/>
    </row>
    <row r="113" spans="1:18" ht="30" customHeight="1">
      <c r="A113" s="157" t="s">
        <v>276</v>
      </c>
      <c r="B113" s="92" t="s">
        <v>468</v>
      </c>
      <c r="C113" s="92" t="s">
        <v>225</v>
      </c>
      <c r="D113" s="92" t="s">
        <v>461</v>
      </c>
      <c r="E113" s="29">
        <v>43252</v>
      </c>
      <c r="F113" s="93">
        <v>70000</v>
      </c>
      <c r="G113" s="93">
        <v>3890.96</v>
      </c>
      <c r="H113" s="93">
        <v>2009</v>
      </c>
      <c r="I113" s="93">
        <v>2128</v>
      </c>
      <c r="J113" s="93">
        <v>1537.45</v>
      </c>
      <c r="K113" s="93">
        <f>+Tabla4[[#This Row],[ISR
(Ley 11-92)
(1*)]]+Tabla4[[#This Row],[Seguro 
de Pensión 
(2.87%) 
 (2*)]]+Tabla4[[#This Row],[Seguro 
de Salud (3.04%)
 (3*)]]+Tabla4[[#This Row],[Otros 
Descuentos]]</f>
        <v>9565.41</v>
      </c>
      <c r="L113" s="93">
        <f>+Tabla4[[#This Row],[Sueldo Bruto
(RD$)]]-Tabla4[[#This Row],[Total 
de 
Descuento]]</f>
        <v>60434.59</v>
      </c>
      <c r="M113" s="93" t="s">
        <v>332</v>
      </c>
      <c r="N113" s="96" t="s">
        <v>19</v>
      </c>
      <c r="O113" s="94"/>
      <c r="P113" s="94"/>
      <c r="Q113" s="94"/>
      <c r="R113" s="94"/>
    </row>
    <row r="114" spans="1:18" ht="30" customHeight="1">
      <c r="A114" s="157" t="s">
        <v>278</v>
      </c>
      <c r="B114" s="92" t="s">
        <v>469</v>
      </c>
      <c r="C114" s="92" t="s">
        <v>225</v>
      </c>
      <c r="D114" s="92" t="s">
        <v>461</v>
      </c>
      <c r="E114" s="29">
        <v>43252</v>
      </c>
      <c r="F114" s="93">
        <v>70000</v>
      </c>
      <c r="G114" s="93">
        <v>4095.02</v>
      </c>
      <c r="H114" s="93">
        <v>2009</v>
      </c>
      <c r="I114" s="93">
        <v>2128</v>
      </c>
      <c r="J114" s="92">
        <v>599.84</v>
      </c>
      <c r="K114" s="93">
        <f>+Tabla4[[#This Row],[ISR
(Ley 11-92)
(1*)]]+Tabla4[[#This Row],[Seguro 
de Pensión 
(2.87%) 
 (2*)]]+Tabla4[[#This Row],[Seguro 
de Salud (3.04%)
 (3*)]]+Tabla4[[#This Row],[Otros 
Descuentos]]</f>
        <v>8831.86</v>
      </c>
      <c r="L114" s="93">
        <f>+Tabla4[[#This Row],[Sueldo Bruto
(RD$)]]-Tabla4[[#This Row],[Total 
de 
Descuento]]</f>
        <v>61168.14</v>
      </c>
      <c r="M114" s="93" t="s">
        <v>332</v>
      </c>
      <c r="N114" s="96" t="s">
        <v>19</v>
      </c>
      <c r="O114" s="94"/>
      <c r="P114" s="94"/>
      <c r="Q114" s="94"/>
      <c r="R114" s="94"/>
    </row>
    <row r="115" spans="1:18" ht="30" customHeight="1">
      <c r="A115" s="157" t="s">
        <v>280</v>
      </c>
      <c r="B115" s="92" t="s">
        <v>470</v>
      </c>
      <c r="C115" s="92" t="s">
        <v>225</v>
      </c>
      <c r="D115" s="92" t="s">
        <v>461</v>
      </c>
      <c r="E115" s="29">
        <v>43252</v>
      </c>
      <c r="F115" s="93">
        <v>70000</v>
      </c>
      <c r="G115" s="93">
        <v>4650.01</v>
      </c>
      <c r="H115" s="93">
        <v>2009</v>
      </c>
      <c r="I115" s="93">
        <v>2128</v>
      </c>
      <c r="J115" s="92">
        <v>25</v>
      </c>
      <c r="K115" s="93">
        <f>+Tabla4[[#This Row],[ISR
(Ley 11-92)
(1*)]]+Tabla4[[#This Row],[Seguro 
de Pensión 
(2.87%) 
 (2*)]]+Tabla4[[#This Row],[Seguro 
de Salud (3.04%)
 (3*)]]+Tabla4[[#This Row],[Otros 
Descuentos]]</f>
        <v>8812.01</v>
      </c>
      <c r="L115" s="93">
        <f>+Tabla4[[#This Row],[Sueldo Bruto
(RD$)]]-Tabla4[[#This Row],[Total 
de 
Descuento]]</f>
        <v>61187.99</v>
      </c>
      <c r="M115" s="93" t="s">
        <v>332</v>
      </c>
      <c r="N115" s="96" t="s">
        <v>19</v>
      </c>
      <c r="O115" s="94"/>
      <c r="P115" s="94"/>
      <c r="Q115" s="94"/>
      <c r="R115" s="94"/>
    </row>
    <row r="116" spans="1:18" ht="30" customHeight="1">
      <c r="A116" s="157" t="s">
        <v>282</v>
      </c>
      <c r="B116" s="92" t="s">
        <v>471</v>
      </c>
      <c r="C116" s="92" t="s">
        <v>225</v>
      </c>
      <c r="D116" s="92" t="s">
        <v>461</v>
      </c>
      <c r="E116" s="29">
        <v>42036</v>
      </c>
      <c r="F116" s="93">
        <v>70000</v>
      </c>
      <c r="G116" s="93">
        <v>5368.48</v>
      </c>
      <c r="H116" s="93">
        <v>2009</v>
      </c>
      <c r="I116" s="93">
        <v>2128</v>
      </c>
      <c r="J116" s="93">
        <v>4221.58</v>
      </c>
      <c r="K116" s="93">
        <f>+Tabla4[[#This Row],[ISR
(Ley 11-92)
(1*)]]+Tabla4[[#This Row],[Seguro 
de Pensión 
(2.87%) 
 (2*)]]+Tabla4[[#This Row],[Seguro 
de Salud (3.04%)
 (3*)]]+Tabla4[[#This Row],[Otros 
Descuentos]]</f>
        <v>13727.06</v>
      </c>
      <c r="L116" s="93">
        <f>+Tabla4[[#This Row],[Sueldo Bruto
(RD$)]]-Tabla4[[#This Row],[Total 
de 
Descuento]]</f>
        <v>56272.94</v>
      </c>
      <c r="M116" s="93" t="s">
        <v>332</v>
      </c>
      <c r="N116" s="96" t="s">
        <v>35</v>
      </c>
      <c r="O116" s="94"/>
      <c r="P116" s="94"/>
      <c r="Q116" s="94"/>
      <c r="R116" s="94"/>
    </row>
    <row r="117" spans="1:18" ht="30" customHeight="1">
      <c r="A117" s="157" t="s">
        <v>284</v>
      </c>
      <c r="B117" s="92" t="s">
        <v>472</v>
      </c>
      <c r="C117" s="92" t="s">
        <v>225</v>
      </c>
      <c r="D117" s="92" t="s">
        <v>345</v>
      </c>
      <c r="E117" s="29">
        <v>41852</v>
      </c>
      <c r="F117" s="93">
        <v>40000</v>
      </c>
      <c r="G117" s="92">
        <v>0</v>
      </c>
      <c r="H117" s="93">
        <v>1148</v>
      </c>
      <c r="I117" s="93">
        <v>1216</v>
      </c>
      <c r="J117" s="92">
        <v>25</v>
      </c>
      <c r="K117" s="93">
        <f>+Tabla4[[#This Row],[ISR
(Ley 11-92)
(1*)]]+Tabla4[[#This Row],[Seguro 
de Pensión 
(2.87%) 
 (2*)]]+Tabla4[[#This Row],[Seguro 
de Salud (3.04%)
 (3*)]]+Tabla4[[#This Row],[Otros 
Descuentos]]</f>
        <v>2389</v>
      </c>
      <c r="L117" s="93">
        <f>+Tabla4[[#This Row],[Sueldo Bruto
(RD$)]]-Tabla4[[#This Row],[Total 
de 
Descuento]]</f>
        <v>37611</v>
      </c>
      <c r="M117" s="93" t="s">
        <v>526</v>
      </c>
      <c r="N117" s="96" t="s">
        <v>19</v>
      </c>
      <c r="O117" s="94"/>
      <c r="P117" s="94"/>
      <c r="Q117" s="94"/>
      <c r="R117" s="94"/>
    </row>
    <row r="118" spans="1:18" ht="30" customHeight="1">
      <c r="A118" s="157" t="s">
        <v>286</v>
      </c>
      <c r="B118" s="92" t="s">
        <v>473</v>
      </c>
      <c r="C118" s="92" t="s">
        <v>231</v>
      </c>
      <c r="D118" s="92" t="s">
        <v>474</v>
      </c>
      <c r="E118" s="29">
        <v>39554</v>
      </c>
      <c r="F118" s="93">
        <v>135000</v>
      </c>
      <c r="G118" s="93">
        <v>20338.240000000002</v>
      </c>
      <c r="H118" s="93">
        <v>3874.5</v>
      </c>
      <c r="I118" s="93">
        <v>4104</v>
      </c>
      <c r="J118" s="93">
        <v>11883.56</v>
      </c>
      <c r="K118" s="93">
        <f>+Tabla4[[#This Row],[ISR
(Ley 11-92)
(1*)]]+Tabla4[[#This Row],[Seguro 
de Pensión 
(2.87%) 
 (2*)]]+Tabla4[[#This Row],[Seguro 
de Salud (3.04%)
 (3*)]]+Tabla4[[#This Row],[Otros 
Descuentos]]</f>
        <v>40200.300000000003</v>
      </c>
      <c r="L118" s="93">
        <f>+Tabla4[[#This Row],[Sueldo Bruto
(RD$)]]-Tabla4[[#This Row],[Total 
de 
Descuento]]</f>
        <v>94799.7</v>
      </c>
      <c r="M118" s="93" t="s">
        <v>337</v>
      </c>
      <c r="N118" s="96" t="s">
        <v>19</v>
      </c>
      <c r="O118" s="94"/>
      <c r="P118" s="94"/>
      <c r="Q118" s="94"/>
      <c r="R118" s="94"/>
    </row>
    <row r="119" spans="1:18" ht="30" customHeight="1">
      <c r="A119" s="157" t="s">
        <v>289</v>
      </c>
      <c r="B119" s="92" t="s">
        <v>475</v>
      </c>
      <c r="C119" s="92" t="s">
        <v>231</v>
      </c>
      <c r="D119" s="92" t="s">
        <v>17</v>
      </c>
      <c r="E119" s="29">
        <v>39692</v>
      </c>
      <c r="F119" s="93">
        <v>90000</v>
      </c>
      <c r="G119" s="93">
        <v>9753.1200000000008</v>
      </c>
      <c r="H119" s="93">
        <v>2583</v>
      </c>
      <c r="I119" s="93">
        <v>2736</v>
      </c>
      <c r="J119" s="93">
        <v>25</v>
      </c>
      <c r="K119" s="93">
        <f>+Tabla4[[#This Row],[ISR
(Ley 11-92)
(1*)]]+Tabla4[[#This Row],[Seguro 
de Pensión 
(2.87%) 
 (2*)]]+Tabla4[[#This Row],[Seguro 
de Salud (3.04%)
 (3*)]]+Tabla4[[#This Row],[Otros 
Descuentos]]</f>
        <v>15097.12</v>
      </c>
      <c r="L119" s="93">
        <f>+Tabla4[[#This Row],[Sueldo Bruto
(RD$)]]-Tabla4[[#This Row],[Total 
de 
Descuento]]</f>
        <v>74902.880000000005</v>
      </c>
      <c r="M119" s="93" t="s">
        <v>332</v>
      </c>
      <c r="N119" s="96" t="s">
        <v>19</v>
      </c>
      <c r="O119" s="94"/>
      <c r="P119" s="94"/>
      <c r="Q119" s="94"/>
      <c r="R119" s="94"/>
    </row>
    <row r="120" spans="1:18" ht="30" customHeight="1">
      <c r="A120" s="157" t="s">
        <v>292</v>
      </c>
      <c r="B120" s="92" t="s">
        <v>476</v>
      </c>
      <c r="C120" s="92" t="s">
        <v>231</v>
      </c>
      <c r="D120" s="92" t="s">
        <v>160</v>
      </c>
      <c r="E120" s="29">
        <v>40294</v>
      </c>
      <c r="F120" s="93">
        <v>65000</v>
      </c>
      <c r="G120" s="114">
        <v>4125.09</v>
      </c>
      <c r="H120" s="93">
        <v>1865.5</v>
      </c>
      <c r="I120" s="93">
        <v>1976</v>
      </c>
      <c r="J120" s="93">
        <v>1537.45</v>
      </c>
      <c r="K120" s="93">
        <f>+Tabla4[[#This Row],[ISR
(Ley 11-92)
(1*)]]+Tabla4[[#This Row],[Seguro 
de Pensión 
(2.87%) 
 (2*)]]+Tabla4[[#This Row],[Seguro 
de Salud (3.04%)
 (3*)]]+Tabla4[[#This Row],[Otros 
Descuentos]]</f>
        <v>9504.0400000000009</v>
      </c>
      <c r="L120" s="93">
        <f>+Tabla4[[#This Row],[Sueldo Bruto
(RD$)]]-Tabla4[[#This Row],[Total 
de 
Descuento]]</f>
        <v>55495.96</v>
      </c>
      <c r="M120" s="93" t="s">
        <v>337</v>
      </c>
      <c r="N120" s="96" t="s">
        <v>19</v>
      </c>
      <c r="O120" s="94"/>
      <c r="P120" s="94"/>
      <c r="Q120" s="94"/>
      <c r="R120" s="94"/>
    </row>
    <row r="121" spans="1:18" ht="30" customHeight="1">
      <c r="A121" s="157" t="s">
        <v>294</v>
      </c>
      <c r="B121" s="92" t="s">
        <v>479</v>
      </c>
      <c r="C121" s="92" t="s">
        <v>255</v>
      </c>
      <c r="D121" s="92" t="s">
        <v>160</v>
      </c>
      <c r="E121" s="29">
        <v>39661</v>
      </c>
      <c r="F121" s="93">
        <v>80000</v>
      </c>
      <c r="G121" s="93">
        <v>7400.87</v>
      </c>
      <c r="H121" s="93">
        <v>2296</v>
      </c>
      <c r="I121" s="93">
        <v>2432</v>
      </c>
      <c r="J121" s="92">
        <v>25</v>
      </c>
      <c r="K121" s="93">
        <v>12153.87</v>
      </c>
      <c r="L121" s="93">
        <v>67846.13</v>
      </c>
      <c r="M121" s="93" t="s">
        <v>337</v>
      </c>
      <c r="N121" s="96" t="s">
        <v>19</v>
      </c>
      <c r="O121" s="94"/>
      <c r="P121" s="94"/>
      <c r="Q121" s="94"/>
      <c r="R121" s="94"/>
    </row>
    <row r="122" spans="1:18" s="94" customFormat="1" ht="30" customHeight="1">
      <c r="A122" s="157" t="s">
        <v>296</v>
      </c>
      <c r="B122" s="92" t="s">
        <v>466</v>
      </c>
      <c r="C122" s="92" t="s">
        <v>255</v>
      </c>
      <c r="D122" s="92" t="s">
        <v>461</v>
      </c>
      <c r="E122" s="29">
        <v>43252</v>
      </c>
      <c r="F122" s="93">
        <v>70000</v>
      </c>
      <c r="G122" s="93">
        <v>4095.02</v>
      </c>
      <c r="H122" s="93">
        <v>2009</v>
      </c>
      <c r="I122" s="93">
        <v>2128</v>
      </c>
      <c r="J122" s="92">
        <v>125</v>
      </c>
      <c r="K122" s="93">
        <f>+Tabla4[[#This Row],[ISR
(Ley 11-92)
(1*)]]+Tabla4[[#This Row],[Seguro 
de Pensión 
(2.87%) 
 (2*)]]+Tabla4[[#This Row],[Seguro 
de Salud (3.04%)
 (3*)]]+Tabla4[[#This Row],[Otros 
Descuentos]]</f>
        <v>8357.02</v>
      </c>
      <c r="L122" s="93">
        <f>+Tabla4[[#This Row],[Sueldo Bruto
(RD$)]]-Tabla4[[#This Row],[Total 
de 
Descuento]]</f>
        <v>61642.979999999996</v>
      </c>
      <c r="M122" s="93" t="s">
        <v>332</v>
      </c>
      <c r="N122" s="96" t="s">
        <v>19</v>
      </c>
    </row>
    <row r="123" spans="1:18" s="94" customFormat="1" ht="30" customHeight="1">
      <c r="A123" s="157" t="s">
        <v>298</v>
      </c>
      <c r="B123" s="92" t="s">
        <v>483</v>
      </c>
      <c r="C123" s="92" t="s">
        <v>255</v>
      </c>
      <c r="D123" s="92" t="s">
        <v>484</v>
      </c>
      <c r="E123" s="29">
        <v>42826</v>
      </c>
      <c r="F123" s="93">
        <v>31500</v>
      </c>
      <c r="G123" s="92">
        <v>0</v>
      </c>
      <c r="H123" s="92">
        <v>904.05</v>
      </c>
      <c r="I123" s="92">
        <v>957.6</v>
      </c>
      <c r="J123" s="92">
        <v>525</v>
      </c>
      <c r="K123" s="93">
        <v>2386.65</v>
      </c>
      <c r="L123" s="93">
        <v>29113.35</v>
      </c>
      <c r="M123" s="93" t="s">
        <v>332</v>
      </c>
      <c r="N123" s="96" t="s">
        <v>19</v>
      </c>
    </row>
    <row r="124" spans="1:18" ht="30" customHeight="1">
      <c r="A124" s="157" t="s">
        <v>300</v>
      </c>
      <c r="B124" s="92" t="s">
        <v>477</v>
      </c>
      <c r="C124" s="92" t="s">
        <v>288</v>
      </c>
      <c r="D124" s="92" t="s">
        <v>160</v>
      </c>
      <c r="E124" s="29">
        <v>41426</v>
      </c>
      <c r="F124" s="93">
        <v>65000</v>
      </c>
      <c r="G124" s="114">
        <v>4125.09</v>
      </c>
      <c r="H124" s="93">
        <v>1865.5</v>
      </c>
      <c r="I124" s="93">
        <v>1976</v>
      </c>
      <c r="J124" s="93">
        <v>2480.4899999999998</v>
      </c>
      <c r="K124" s="93">
        <f>+Tabla4[[#This Row],[ISR
(Ley 11-92)
(1*)]]+Tabla4[[#This Row],[Seguro 
de Pensión 
(2.87%) 
 (2*)]]+Tabla4[[#This Row],[Seguro 
de Salud (3.04%)
 (3*)]]+Tabla4[[#This Row],[Otros 
Descuentos]]</f>
        <v>10447.08</v>
      </c>
      <c r="L124" s="93">
        <f>+Tabla4[[#This Row],[Sueldo Bruto
(RD$)]]-Tabla4[[#This Row],[Total 
de 
Descuento]]</f>
        <v>54552.92</v>
      </c>
      <c r="M124" s="93" t="s">
        <v>337</v>
      </c>
      <c r="N124" s="96" t="s">
        <v>19</v>
      </c>
      <c r="O124" s="94"/>
      <c r="P124" s="94"/>
      <c r="Q124" s="94"/>
      <c r="R124" s="94"/>
    </row>
    <row r="125" spans="1:18" ht="30" customHeight="1">
      <c r="A125" s="157" t="s">
        <v>302</v>
      </c>
      <c r="B125" s="92" t="s">
        <v>478</v>
      </c>
      <c r="C125" s="92" t="s">
        <v>288</v>
      </c>
      <c r="D125" s="92" t="s">
        <v>155</v>
      </c>
      <c r="E125" s="29">
        <v>38384</v>
      </c>
      <c r="F125" s="93">
        <v>60000</v>
      </c>
      <c r="G125" s="93">
        <v>3184.19</v>
      </c>
      <c r="H125" s="93">
        <v>1722</v>
      </c>
      <c r="I125" s="93">
        <v>1824</v>
      </c>
      <c r="J125" s="93">
        <v>1637.45</v>
      </c>
      <c r="K125" s="93">
        <v>8367.64</v>
      </c>
      <c r="L125" s="93">
        <f>+Tabla4[[#This Row],[Sueldo Bruto
(RD$)]]-Tabla4[[#This Row],[Total 
de 
Descuento]]</f>
        <v>51632.36</v>
      </c>
      <c r="M125" s="93" t="s">
        <v>332</v>
      </c>
      <c r="N125" s="96" t="s">
        <v>35</v>
      </c>
      <c r="O125" s="94"/>
      <c r="P125" s="94"/>
      <c r="Q125" s="94"/>
      <c r="R125" s="94"/>
    </row>
    <row r="126" spans="1:18" ht="30" customHeight="1">
      <c r="A126" s="157" t="s">
        <v>506</v>
      </c>
      <c r="B126" s="92" t="s">
        <v>482</v>
      </c>
      <c r="C126" s="92" t="s">
        <v>288</v>
      </c>
      <c r="D126" s="92" t="s">
        <v>275</v>
      </c>
      <c r="E126" s="29">
        <v>40057</v>
      </c>
      <c r="F126" s="93">
        <v>60000</v>
      </c>
      <c r="G126" s="114">
        <v>3184.19</v>
      </c>
      <c r="H126" s="93">
        <v>1722</v>
      </c>
      <c r="I126" s="93">
        <v>1824</v>
      </c>
      <c r="J126" s="93">
        <v>1537.45</v>
      </c>
      <c r="K126" s="93">
        <f>+Tabla4[[#This Row],[ISR
(Ley 11-92)
(1*)]]+Tabla4[[#This Row],[Seguro 
de Pensión 
(2.87%) 
 (2*)]]+Tabla4[[#This Row],[Seguro 
de Salud (3.04%)
 (3*)]]+Tabla4[[#This Row],[Otros 
Descuentos]]</f>
        <v>8267.6400000000012</v>
      </c>
      <c r="L126" s="93">
        <f>+Tabla4[[#This Row],[Sueldo Bruto
(RD$)]]-Tabla4[[#This Row],[Total 
de 
Descuento]]</f>
        <v>51732.36</v>
      </c>
      <c r="M126" s="93" t="s">
        <v>337</v>
      </c>
      <c r="N126" s="96" t="s">
        <v>35</v>
      </c>
      <c r="O126" s="94"/>
      <c r="P126" s="94"/>
      <c r="Q126" s="94"/>
      <c r="R126" s="94"/>
    </row>
    <row r="127" spans="1:18" ht="30" customHeight="1">
      <c r="A127" s="157" t="s">
        <v>507</v>
      </c>
      <c r="B127" s="92" t="s">
        <v>480</v>
      </c>
      <c r="C127" s="92" t="s">
        <v>288</v>
      </c>
      <c r="D127" s="92" t="s">
        <v>275</v>
      </c>
      <c r="E127" s="29">
        <v>43040</v>
      </c>
      <c r="F127" s="93">
        <v>42000</v>
      </c>
      <c r="G127" s="92">
        <v>724.92</v>
      </c>
      <c r="H127" s="93">
        <v>1205.4000000000001</v>
      </c>
      <c r="I127" s="93">
        <v>1276.8</v>
      </c>
      <c r="J127" s="92">
        <v>25</v>
      </c>
      <c r="K127" s="93">
        <v>3232.12</v>
      </c>
      <c r="L127" s="93">
        <v>38767.879999999997</v>
      </c>
      <c r="M127" s="93" t="s">
        <v>332</v>
      </c>
      <c r="N127" s="96" t="s">
        <v>35</v>
      </c>
      <c r="O127" s="94"/>
      <c r="P127" s="94"/>
      <c r="Q127" s="94"/>
      <c r="R127" s="94"/>
    </row>
    <row r="128" spans="1:18" ht="30" customHeight="1">
      <c r="A128" s="157" t="s">
        <v>508</v>
      </c>
      <c r="B128" s="92" t="s">
        <v>481</v>
      </c>
      <c r="C128" s="92" t="s">
        <v>288</v>
      </c>
      <c r="D128" s="92" t="s">
        <v>275</v>
      </c>
      <c r="E128" s="29">
        <v>41426</v>
      </c>
      <c r="F128" s="93">
        <v>42000</v>
      </c>
      <c r="G128" s="92">
        <v>724.92</v>
      </c>
      <c r="H128" s="93">
        <v>1205.4000000000001</v>
      </c>
      <c r="I128" s="93">
        <v>1276.8</v>
      </c>
      <c r="J128" s="92">
        <v>125</v>
      </c>
      <c r="K128" s="93">
        <v>3332.12</v>
      </c>
      <c r="L128" s="93">
        <v>38667.879999999997</v>
      </c>
      <c r="M128" s="93" t="s">
        <v>332</v>
      </c>
      <c r="N128" s="96" t="s">
        <v>19</v>
      </c>
      <c r="O128" s="94"/>
      <c r="P128" s="94"/>
      <c r="Q128" s="94"/>
      <c r="R128" s="94"/>
    </row>
    <row r="129" spans="1:18" ht="30" customHeight="1">
      <c r="A129" s="157" t="s">
        <v>509</v>
      </c>
      <c r="B129" s="92" t="s">
        <v>492</v>
      </c>
      <c r="C129" s="92" t="s">
        <v>154</v>
      </c>
      <c r="D129" s="92" t="s">
        <v>493</v>
      </c>
      <c r="E129" s="29">
        <v>42309</v>
      </c>
      <c r="F129" s="93">
        <v>75000</v>
      </c>
      <c r="G129" s="93">
        <v>6006.89</v>
      </c>
      <c r="H129" s="93">
        <v>2152.5</v>
      </c>
      <c r="I129" s="93">
        <v>2280</v>
      </c>
      <c r="J129" s="93">
        <v>11430.64</v>
      </c>
      <c r="K129" s="93">
        <f>+Tabla4[[#This Row],[ISR
(Ley 11-92)
(1*)]]+Tabla4[[#This Row],[Seguro 
de Pensión 
(2.87%) 
 (2*)]]+Tabla4[[#This Row],[Seguro 
de Salud (3.04%)
 (3*)]]+Tabla4[[#This Row],[Otros 
Descuentos]]</f>
        <v>21870.03</v>
      </c>
      <c r="L129" s="93">
        <f>+Tabla4[[#This Row],[Sueldo Bruto
(RD$)]]-Tabla4[[#This Row],[Total 
de 
Descuento]]</f>
        <v>53129.97</v>
      </c>
      <c r="M129" s="93" t="s">
        <v>337</v>
      </c>
      <c r="N129" s="96" t="s">
        <v>19</v>
      </c>
      <c r="O129" s="94"/>
      <c r="P129" s="94"/>
      <c r="Q129" s="94"/>
      <c r="R129" s="94"/>
    </row>
    <row r="130" spans="1:18" ht="30" customHeight="1">
      <c r="A130" s="157" t="s">
        <v>510</v>
      </c>
      <c r="B130" s="92" t="s">
        <v>494</v>
      </c>
      <c r="C130" s="92" t="s">
        <v>154</v>
      </c>
      <c r="D130" s="92" t="s">
        <v>495</v>
      </c>
      <c r="E130" s="29">
        <v>39934</v>
      </c>
      <c r="F130" s="93">
        <v>65000</v>
      </c>
      <c r="G130" s="93">
        <v>4125.09</v>
      </c>
      <c r="H130" s="93">
        <v>1865.5</v>
      </c>
      <c r="I130" s="93">
        <v>1976</v>
      </c>
      <c r="J130" s="93">
        <v>21438.45</v>
      </c>
      <c r="K130" s="93">
        <f>+Tabla4[[#This Row],[ISR
(Ley 11-92)
(1*)]]+Tabla4[[#This Row],[Seguro 
de Pensión 
(2.87%) 
 (2*)]]+Tabla4[[#This Row],[Seguro 
de Salud (3.04%)
 (3*)]]+Tabla4[[#This Row],[Otros 
Descuentos]]</f>
        <v>29405.040000000001</v>
      </c>
      <c r="L130" s="93">
        <f>+Tabla4[[#This Row],[Sueldo Bruto
(RD$)]]-Tabla4[[#This Row],[Total 
de 
Descuento]]</f>
        <v>35594.959999999999</v>
      </c>
      <c r="M130" s="93" t="s">
        <v>332</v>
      </c>
      <c r="N130" s="96" t="s">
        <v>19</v>
      </c>
      <c r="O130" s="94"/>
      <c r="P130" s="94"/>
      <c r="Q130" s="94"/>
      <c r="R130" s="94"/>
    </row>
    <row r="131" spans="1:18" ht="30" customHeight="1">
      <c r="A131" s="157" t="s">
        <v>511</v>
      </c>
      <c r="B131" s="92" t="s">
        <v>485</v>
      </c>
      <c r="C131" s="92" t="s">
        <v>154</v>
      </c>
      <c r="D131" s="92" t="s">
        <v>160</v>
      </c>
      <c r="E131" s="29">
        <v>41290</v>
      </c>
      <c r="F131" s="93">
        <v>65000</v>
      </c>
      <c r="G131" s="114">
        <v>4427.58</v>
      </c>
      <c r="H131" s="93">
        <v>1865.5</v>
      </c>
      <c r="I131" s="93">
        <v>1976</v>
      </c>
      <c r="J131" s="92">
        <v>125</v>
      </c>
      <c r="K131" s="93">
        <f>+Tabla4[[#This Row],[ISR
(Ley 11-92)
(1*)]]+Tabla4[[#This Row],[Seguro 
de Pensión 
(2.87%) 
 (2*)]]+Tabla4[[#This Row],[Seguro 
de Salud (3.04%)
 (3*)]]+Tabla4[[#This Row],[Otros 
Descuentos]]</f>
        <v>8394.08</v>
      </c>
      <c r="L131" s="93">
        <f>+Tabla4[[#This Row],[Sueldo Bruto
(RD$)]]-Tabla4[[#This Row],[Total 
de 
Descuento]]</f>
        <v>56605.919999999998</v>
      </c>
      <c r="M131" s="93" t="s">
        <v>332</v>
      </c>
      <c r="N131" s="96" t="s">
        <v>19</v>
      </c>
      <c r="O131" s="94"/>
      <c r="P131" s="94"/>
      <c r="Q131" s="94"/>
      <c r="R131" s="94"/>
    </row>
    <row r="132" spans="1:18" ht="30" customHeight="1">
      <c r="A132" s="157" t="s">
        <v>512</v>
      </c>
      <c r="B132" s="92" t="s">
        <v>486</v>
      </c>
      <c r="C132" s="92" t="s">
        <v>154</v>
      </c>
      <c r="D132" s="92" t="s">
        <v>160</v>
      </c>
      <c r="E132" s="29">
        <v>41306</v>
      </c>
      <c r="F132" s="93">
        <v>65000</v>
      </c>
      <c r="G132" s="93">
        <v>4427.58</v>
      </c>
      <c r="H132" s="93">
        <v>1865.5</v>
      </c>
      <c r="I132" s="93">
        <v>1976</v>
      </c>
      <c r="J132" s="92">
        <v>25</v>
      </c>
      <c r="K132" s="93">
        <v>8294.08</v>
      </c>
      <c r="L132" s="93">
        <v>56705.919999999998</v>
      </c>
      <c r="M132" s="93" t="s">
        <v>332</v>
      </c>
      <c r="N132" s="96" t="s">
        <v>19</v>
      </c>
      <c r="O132" s="94"/>
      <c r="P132" s="94"/>
      <c r="Q132" s="94"/>
      <c r="R132" s="94"/>
    </row>
    <row r="133" spans="1:18" ht="30" customHeight="1">
      <c r="A133" s="157" t="s">
        <v>513</v>
      </c>
      <c r="B133" s="92" t="s">
        <v>487</v>
      </c>
      <c r="C133" s="92" t="s">
        <v>154</v>
      </c>
      <c r="D133" s="92" t="s">
        <v>155</v>
      </c>
      <c r="E133" s="29">
        <v>42248</v>
      </c>
      <c r="F133" s="93">
        <v>65000</v>
      </c>
      <c r="G133" s="93">
        <v>4427.58</v>
      </c>
      <c r="H133" s="93">
        <v>1865.5</v>
      </c>
      <c r="I133" s="93">
        <v>1976</v>
      </c>
      <c r="J133" s="92">
        <v>25</v>
      </c>
      <c r="K133" s="93">
        <f>+Tabla4[[#This Row],[ISR
(Ley 11-92)
(1*)]]+Tabla4[[#This Row],[Seguro 
de Pensión 
(2.87%) 
 (2*)]]+Tabla4[[#This Row],[Seguro 
de Salud (3.04%)
 (3*)]]+Tabla4[[#This Row],[Otros 
Descuentos]]</f>
        <v>8294.08</v>
      </c>
      <c r="L133" s="93">
        <f>+Tabla4[[#This Row],[Sueldo Bruto
(RD$)]]-Tabla4[[#This Row],[Total 
de 
Descuento]]</f>
        <v>56705.919999999998</v>
      </c>
      <c r="M133" s="93" t="s">
        <v>332</v>
      </c>
      <c r="N133" s="96" t="s">
        <v>35</v>
      </c>
      <c r="O133" s="94"/>
      <c r="P133" s="94"/>
      <c r="Q133" s="94"/>
      <c r="R133" s="94"/>
    </row>
    <row r="134" spans="1:18" ht="30" customHeight="1">
      <c r="A134" s="157" t="s">
        <v>514</v>
      </c>
      <c r="B134" s="92" t="s">
        <v>496</v>
      </c>
      <c r="C134" s="92" t="s">
        <v>154</v>
      </c>
      <c r="D134" s="92" t="s">
        <v>160</v>
      </c>
      <c r="E134" s="29">
        <v>41281</v>
      </c>
      <c r="F134" s="93">
        <v>65000</v>
      </c>
      <c r="G134" s="93">
        <v>4427.58</v>
      </c>
      <c r="H134" s="93">
        <v>1865.5</v>
      </c>
      <c r="I134" s="93">
        <v>1976</v>
      </c>
      <c r="J134" s="93">
        <v>1025</v>
      </c>
      <c r="K134" s="93">
        <f>+Tabla4[[#This Row],[ISR
(Ley 11-92)
(1*)]]+Tabla4[[#This Row],[Seguro 
de Pensión 
(2.87%) 
 (2*)]]+Tabla4[[#This Row],[Seguro 
de Salud (3.04%)
 (3*)]]+Tabla4[[#This Row],[Otros 
Descuentos]]</f>
        <v>9294.08</v>
      </c>
      <c r="L134" s="93">
        <f>+Tabla4[[#This Row],[Sueldo Bruto
(RD$)]]-Tabla4[[#This Row],[Total 
de 
Descuento]]</f>
        <v>55705.919999999998</v>
      </c>
      <c r="M134" s="93" t="s">
        <v>332</v>
      </c>
      <c r="N134" s="96" t="s">
        <v>19</v>
      </c>
      <c r="O134" s="94"/>
      <c r="P134" s="94"/>
      <c r="Q134" s="94"/>
      <c r="R134" s="94"/>
    </row>
    <row r="135" spans="1:18" ht="30" customHeight="1">
      <c r="A135" s="157" t="s">
        <v>515</v>
      </c>
      <c r="B135" s="92" t="s">
        <v>488</v>
      </c>
      <c r="C135" s="92" t="s">
        <v>154</v>
      </c>
      <c r="D135" s="92" t="s">
        <v>341</v>
      </c>
      <c r="E135" s="29">
        <v>41306</v>
      </c>
      <c r="F135" s="93">
        <v>45000</v>
      </c>
      <c r="G135" s="93">
        <v>0</v>
      </c>
      <c r="H135" s="93">
        <v>1291.5</v>
      </c>
      <c r="I135" s="93">
        <v>1368</v>
      </c>
      <c r="J135" s="93">
        <v>3037.45</v>
      </c>
      <c r="K135" s="93">
        <f>+Tabla4[[#This Row],[ISR
(Ley 11-92)
(1*)]]+Tabla4[[#This Row],[Seguro 
de Pensión 
(2.87%) 
 (2*)]]+Tabla4[[#This Row],[Seguro 
de Salud (3.04%)
 (3*)]]+Tabla4[[#This Row],[Otros 
Descuentos]]</f>
        <v>5696.95</v>
      </c>
      <c r="L135" s="93">
        <f>+Tabla4[[#This Row],[Sueldo Bruto
(RD$)]]-Tabla4[[#This Row],[Total 
de 
Descuento]]</f>
        <v>39303.050000000003</v>
      </c>
      <c r="M135" s="93" t="s">
        <v>332</v>
      </c>
      <c r="N135" s="96" t="s">
        <v>19</v>
      </c>
      <c r="O135" s="94"/>
      <c r="P135" s="94"/>
      <c r="Q135" s="94"/>
      <c r="R135" s="94"/>
    </row>
    <row r="136" spans="1:18" ht="30" customHeight="1">
      <c r="A136" s="157" t="s">
        <v>516</v>
      </c>
      <c r="B136" s="92" t="s">
        <v>489</v>
      </c>
      <c r="C136" s="92" t="s">
        <v>154</v>
      </c>
      <c r="D136" s="92" t="s">
        <v>165</v>
      </c>
      <c r="E136" s="29">
        <v>42988</v>
      </c>
      <c r="F136" s="93">
        <v>42000</v>
      </c>
      <c r="G136" s="93">
        <v>82.19</v>
      </c>
      <c r="H136" s="93">
        <v>1205.4000000000001</v>
      </c>
      <c r="I136" s="93">
        <v>1276.8</v>
      </c>
      <c r="J136" s="92">
        <v>125</v>
      </c>
      <c r="K136" s="93">
        <f>+Tabla4[[#This Row],[ISR
(Ley 11-92)
(1*)]]+Tabla4[[#This Row],[Seguro 
de Pensión 
(2.87%) 
 (2*)]]+Tabla4[[#This Row],[Seguro 
de Salud (3.04%)
 (3*)]]+Tabla4[[#This Row],[Otros 
Descuentos]]</f>
        <v>2689.3900000000003</v>
      </c>
      <c r="L136" s="93">
        <f>+Tabla4[[#This Row],[Sueldo Bruto
(RD$)]]-Tabla4[[#This Row],[Total 
de 
Descuento]]</f>
        <v>39310.61</v>
      </c>
      <c r="M136" s="93" t="s">
        <v>332</v>
      </c>
      <c r="N136" s="96" t="s">
        <v>19</v>
      </c>
      <c r="O136" s="94"/>
      <c r="P136" s="94"/>
      <c r="Q136" s="94"/>
      <c r="R136" s="94"/>
    </row>
    <row r="137" spans="1:18" ht="30" customHeight="1">
      <c r="A137" s="157" t="s">
        <v>517</v>
      </c>
      <c r="B137" s="92" t="s">
        <v>490</v>
      </c>
      <c r="C137" s="92" t="s">
        <v>154</v>
      </c>
      <c r="D137" s="92" t="s">
        <v>170</v>
      </c>
      <c r="E137" s="29">
        <v>42309</v>
      </c>
      <c r="F137" s="93">
        <v>42000</v>
      </c>
      <c r="G137" s="93">
        <v>0</v>
      </c>
      <c r="H137" s="93">
        <v>1205.4000000000001</v>
      </c>
      <c r="I137" s="93">
        <v>1276.8</v>
      </c>
      <c r="J137" s="92">
        <v>25</v>
      </c>
      <c r="K137" s="93">
        <f>+Tabla4[[#This Row],[ISR
(Ley 11-92)
(1*)]]+Tabla4[[#This Row],[Seguro 
de Pensión 
(2.87%) 
 (2*)]]+Tabla4[[#This Row],[Seguro 
de Salud (3.04%)
 (3*)]]+Tabla4[[#This Row],[Otros 
Descuentos]]</f>
        <v>2507.1999999999998</v>
      </c>
      <c r="L137" s="93">
        <f>+Tabla4[[#This Row],[Sueldo Bruto
(RD$)]]-Tabla4[[#This Row],[Total 
de 
Descuento]]</f>
        <v>39492.800000000003</v>
      </c>
      <c r="M137" s="93" t="s">
        <v>332</v>
      </c>
      <c r="N137" s="96" t="s">
        <v>35</v>
      </c>
      <c r="O137" s="94"/>
      <c r="P137" s="94"/>
      <c r="Q137" s="94"/>
      <c r="R137" s="94"/>
    </row>
    <row r="138" spans="1:18" ht="30" customHeight="1">
      <c r="A138" s="157" t="s">
        <v>518</v>
      </c>
      <c r="B138" s="92" t="s">
        <v>491</v>
      </c>
      <c r="C138" s="92" t="s">
        <v>154</v>
      </c>
      <c r="D138" s="92" t="s">
        <v>165</v>
      </c>
      <c r="E138" s="29">
        <v>41365</v>
      </c>
      <c r="F138" s="93">
        <v>42000</v>
      </c>
      <c r="G138" s="93">
        <v>0</v>
      </c>
      <c r="H138" s="93">
        <v>1205.4000000000001</v>
      </c>
      <c r="I138" s="93">
        <v>1276.8</v>
      </c>
      <c r="J138" s="93">
        <v>3049.9</v>
      </c>
      <c r="K138" s="93">
        <f>+Tabla4[[#This Row],[ISR
(Ley 11-92)
(1*)]]+Tabla4[[#This Row],[Seguro 
de Pensión 
(2.87%) 
 (2*)]]+Tabla4[[#This Row],[Seguro 
de Salud (3.04%)
 (3*)]]+Tabla4[[#This Row],[Otros 
Descuentos]]</f>
        <v>5532.1</v>
      </c>
      <c r="L138" s="93">
        <f>+Tabla4[[#This Row],[Sueldo Bruto
(RD$)]]-Tabla4[[#This Row],[Total 
de 
Descuento]]</f>
        <v>36467.9</v>
      </c>
      <c r="M138" s="93" t="s">
        <v>332</v>
      </c>
      <c r="N138" s="96" t="s">
        <v>35</v>
      </c>
      <c r="O138" s="94"/>
      <c r="P138" s="94"/>
      <c r="Q138" s="94"/>
      <c r="R138" s="94"/>
    </row>
    <row r="139" spans="1:18" ht="30" customHeight="1">
      <c r="A139" s="157" t="s">
        <v>519</v>
      </c>
      <c r="B139" s="92" t="s">
        <v>497</v>
      </c>
      <c r="C139" s="92" t="s">
        <v>154</v>
      </c>
      <c r="D139" s="92" t="s">
        <v>344</v>
      </c>
      <c r="E139" s="29">
        <v>43191</v>
      </c>
      <c r="F139" s="93">
        <v>42000</v>
      </c>
      <c r="G139" s="93">
        <v>0</v>
      </c>
      <c r="H139" s="93">
        <v>1205.4000000000001</v>
      </c>
      <c r="I139" s="93">
        <v>1276.8</v>
      </c>
      <c r="J139" s="93">
        <v>14134.97</v>
      </c>
      <c r="K139" s="93">
        <f>+Tabla4[[#This Row],[ISR
(Ley 11-92)
(1*)]]+Tabla4[[#This Row],[Seguro 
de Pensión 
(2.87%) 
 (2*)]]+Tabla4[[#This Row],[Seguro 
de Salud (3.04%)
 (3*)]]+Tabla4[[#This Row],[Otros 
Descuentos]]</f>
        <v>16617.169999999998</v>
      </c>
      <c r="L139" s="93">
        <f>+Tabla4[[#This Row],[Sueldo Bruto
(RD$)]]-Tabla4[[#This Row],[Total 
de 
Descuento]]</f>
        <v>25382.83</v>
      </c>
      <c r="M139" s="93" t="s">
        <v>332</v>
      </c>
      <c r="N139" s="96" t="s">
        <v>19</v>
      </c>
      <c r="O139" s="94"/>
      <c r="P139" s="94"/>
      <c r="Q139" s="94"/>
      <c r="R139" s="94"/>
    </row>
    <row r="140" spans="1:18" ht="30" customHeight="1">
      <c r="A140" s="157" t="s">
        <v>597</v>
      </c>
      <c r="B140" s="31" t="s">
        <v>498</v>
      </c>
      <c r="C140" s="31" t="s">
        <v>154</v>
      </c>
      <c r="D140" s="31" t="s">
        <v>344</v>
      </c>
      <c r="E140" s="25">
        <v>38384</v>
      </c>
      <c r="F140" s="30">
        <v>42000</v>
      </c>
      <c r="G140" s="30">
        <v>724.92</v>
      </c>
      <c r="H140" s="30">
        <v>1205.4000000000001</v>
      </c>
      <c r="I140" s="30">
        <v>1276.8</v>
      </c>
      <c r="J140" s="31">
        <v>25</v>
      </c>
      <c r="K140" s="30">
        <v>3232.12</v>
      </c>
      <c r="L140" s="30">
        <v>38767.879999999997</v>
      </c>
      <c r="M140" s="30" t="s">
        <v>337</v>
      </c>
      <c r="N140" s="32" t="s">
        <v>19</v>
      </c>
    </row>
    <row r="141" spans="1:18" ht="30" customHeight="1">
      <c r="A141" s="157" t="s">
        <v>598</v>
      </c>
      <c r="B141" s="31" t="s">
        <v>499</v>
      </c>
      <c r="C141" s="31" t="s">
        <v>154</v>
      </c>
      <c r="D141" s="31" t="s">
        <v>344</v>
      </c>
      <c r="E141" s="25">
        <v>42552</v>
      </c>
      <c r="F141" s="30">
        <v>42000</v>
      </c>
      <c r="G141" s="30">
        <v>724.92</v>
      </c>
      <c r="H141" s="30">
        <v>1205.4000000000001</v>
      </c>
      <c r="I141" s="30">
        <v>1276.8</v>
      </c>
      <c r="J141" s="31">
        <v>25</v>
      </c>
      <c r="K141" s="30">
        <v>3232.12</v>
      </c>
      <c r="L141" s="30">
        <v>38767.879999999997</v>
      </c>
      <c r="M141" s="30" t="s">
        <v>332</v>
      </c>
      <c r="N141" s="32" t="s">
        <v>35</v>
      </c>
    </row>
    <row r="142" spans="1:18" ht="30" customHeight="1">
      <c r="A142" s="157" t="s">
        <v>599</v>
      </c>
      <c r="B142" s="31" t="s">
        <v>500</v>
      </c>
      <c r="C142" s="31" t="s">
        <v>154</v>
      </c>
      <c r="D142" s="31" t="s">
        <v>344</v>
      </c>
      <c r="E142" s="25">
        <v>43405</v>
      </c>
      <c r="F142" s="30">
        <v>42000</v>
      </c>
      <c r="G142" s="30">
        <v>724.92</v>
      </c>
      <c r="H142" s="30">
        <v>1205.4000000000001</v>
      </c>
      <c r="I142" s="30">
        <v>1276.8</v>
      </c>
      <c r="J142" s="31">
        <v>25</v>
      </c>
      <c r="K142" s="30">
        <v>3232.12</v>
      </c>
      <c r="L142" s="30">
        <v>38767.879999999997</v>
      </c>
      <c r="M142" s="30" t="s">
        <v>332</v>
      </c>
      <c r="N142" s="32" t="s">
        <v>35</v>
      </c>
    </row>
    <row r="143" spans="1:18" ht="30" customHeight="1">
      <c r="A143" s="157" t="s">
        <v>520</v>
      </c>
      <c r="B143" s="31" t="s">
        <v>501</v>
      </c>
      <c r="C143" s="31" t="s">
        <v>293</v>
      </c>
      <c r="D143" s="31" t="s">
        <v>502</v>
      </c>
      <c r="E143" s="25">
        <v>43203</v>
      </c>
      <c r="F143" s="30">
        <v>145000</v>
      </c>
      <c r="G143" s="30">
        <v>22690.49</v>
      </c>
      <c r="H143" s="30">
        <v>4161.5</v>
      </c>
      <c r="I143" s="30">
        <v>4408</v>
      </c>
      <c r="J143" s="31">
        <v>25</v>
      </c>
      <c r="K143" s="30">
        <v>31284.99</v>
      </c>
      <c r="L143" s="30">
        <v>113715.01</v>
      </c>
      <c r="M143" s="30" t="s">
        <v>337</v>
      </c>
      <c r="N143" s="32" t="s">
        <v>35</v>
      </c>
    </row>
    <row r="144" spans="1:18" ht="30" customHeight="1">
      <c r="A144" s="157" t="s">
        <v>521</v>
      </c>
      <c r="B144" s="31" t="s">
        <v>503</v>
      </c>
      <c r="C144" s="31" t="s">
        <v>293</v>
      </c>
      <c r="D144" s="31" t="s">
        <v>344</v>
      </c>
      <c r="E144" s="25">
        <v>35968</v>
      </c>
      <c r="F144" s="30">
        <v>42000</v>
      </c>
      <c r="G144" s="30">
        <v>724.92</v>
      </c>
      <c r="H144" s="30">
        <v>1205.4000000000001</v>
      </c>
      <c r="I144" s="30">
        <v>1276.8</v>
      </c>
      <c r="J144" s="31">
        <v>25</v>
      </c>
      <c r="K144" s="30">
        <f>+Tabla4[[#This Row],[ISR
(Ley 11-92)
(1*)]]+Tabla4[[#This Row],[Seguro 
de Pensión 
(2.87%) 
 (2*)]]+Tabla4[[#This Row],[Seguro 
de Salud (3.04%)
 (3*)]]+Tabla4[[#This Row],[Otros 
Descuentos]]</f>
        <v>3232.12</v>
      </c>
      <c r="L144" s="30">
        <f>+Tabla4[[#This Row],[Sueldo Bruto
(RD$)]]-Tabla4[[#This Row],[Total 
de 
Descuento]]</f>
        <v>38767.879999999997</v>
      </c>
      <c r="M144" s="30" t="s">
        <v>337</v>
      </c>
      <c r="N144" s="32" t="s">
        <v>19</v>
      </c>
    </row>
    <row r="145" spans="1:14" ht="30" customHeight="1">
      <c r="A145" s="157" t="s">
        <v>522</v>
      </c>
      <c r="B145" s="31" t="s">
        <v>504</v>
      </c>
      <c r="C145" s="31" t="s">
        <v>293</v>
      </c>
      <c r="D145" s="31" t="s">
        <v>369</v>
      </c>
      <c r="E145" s="25">
        <v>44531</v>
      </c>
      <c r="F145" s="30">
        <v>40000</v>
      </c>
      <c r="G145" s="31">
        <v>442.65</v>
      </c>
      <c r="H145" s="30">
        <v>1148</v>
      </c>
      <c r="I145" s="30">
        <v>1216</v>
      </c>
      <c r="J145" s="31">
        <v>25</v>
      </c>
      <c r="K145" s="30">
        <v>2831.65</v>
      </c>
      <c r="L145" s="30">
        <v>37168.35</v>
      </c>
      <c r="M145" s="30" t="s">
        <v>332</v>
      </c>
      <c r="N145" s="32" t="s">
        <v>19</v>
      </c>
    </row>
    <row r="146" spans="1:14" ht="30" customHeight="1">
      <c r="A146" s="136"/>
      <c r="B146" s="137" t="s">
        <v>305</v>
      </c>
      <c r="C146" s="138"/>
      <c r="D146" s="138"/>
      <c r="E146" s="138"/>
      <c r="F146" s="139">
        <f>SUBTOTAL(109,Tabla4[Sueldo Bruto
(RD$)])</f>
        <v>8952190.7400000002</v>
      </c>
      <c r="G146" s="139">
        <f>SUBTOTAL(109,Tabla4[ISR
(Ley 11-92)
(1*)])</f>
        <v>785372.27999999991</v>
      </c>
      <c r="H146" s="139">
        <f>SUBTOTAL(109,Tabla4[Seguro 
de Pensión 
(2.87%) 
 (2*)])</f>
        <v>256927.89999999991</v>
      </c>
      <c r="I146" s="139">
        <f>SUBTOTAL(109,Tabla4[Seguro 
de Salud (3.04%)
 (3*)])</f>
        <v>263417.99999999988</v>
      </c>
      <c r="J146" s="139">
        <f>SUBTOTAL(109,Tabla4[Otros 
Descuentos])</f>
        <v>267046.50000000006</v>
      </c>
      <c r="K146" s="140">
        <f>SUBTOTAL(109,Tabla4[Total 
de 
Descuento])</f>
        <v>1572764.6800000002</v>
      </c>
      <c r="L146" s="139">
        <f>SUBTOTAL(109,Tabla4[Neto])</f>
        <v>7379426.059999994</v>
      </c>
      <c r="M146" s="138"/>
      <c r="N146" s="141">
        <f>SUBTOTAL(103,Tabla4[sexo])</f>
        <v>138</v>
      </c>
    </row>
    <row r="148" spans="1:14" ht="30" customHeight="1">
      <c r="A148" s="100" t="s">
        <v>306</v>
      </c>
      <c r="B148" s="8"/>
    </row>
    <row r="149" spans="1:14" ht="30" customHeight="1">
      <c r="A149" s="152" t="s">
        <v>307</v>
      </c>
      <c r="B149" s="153"/>
      <c r="C149" s="95"/>
    </row>
    <row r="150" spans="1:14" ht="30" customHeight="1">
      <c r="A150" s="153" t="s">
        <v>308</v>
      </c>
      <c r="B150" s="153"/>
      <c r="C150" s="95"/>
    </row>
    <row r="151" spans="1:14" ht="30" customHeight="1">
      <c r="A151" s="153" t="s">
        <v>309</v>
      </c>
      <c r="B151" s="153"/>
      <c r="C151" s="95"/>
    </row>
    <row r="152" spans="1:14" ht="30" customHeight="1">
      <c r="A152" s="10"/>
      <c r="B152" s="10"/>
    </row>
    <row r="153" spans="1:14" ht="30" customHeight="1">
      <c r="A153" s="11"/>
      <c r="B153" s="12"/>
    </row>
    <row r="155" spans="1:14" ht="30" customHeight="1">
      <c r="A155" s="13" t="s">
        <v>310</v>
      </c>
      <c r="B155" s="14"/>
    </row>
    <row r="156" spans="1:14" ht="30" customHeight="1">
      <c r="A156" s="16" t="s">
        <v>311</v>
      </c>
      <c r="B156" s="17"/>
    </row>
  </sheetData>
  <mergeCells count="2">
    <mergeCell ref="A1:N1"/>
    <mergeCell ref="A2:N2"/>
  </mergeCells>
  <phoneticPr fontId="38" type="noConversion"/>
  <printOptions horizontalCentered="1"/>
  <pageMargins left="0.39370078740157483" right="0.39370078740157483" top="0.74803149606299213" bottom="0.74803149606299213" header="0.31496062992125984" footer="0.31496062992125984"/>
  <pageSetup scale="35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7"/>
  <sheetViews>
    <sheetView zoomScale="55" zoomScaleNormal="55" workbookViewId="0">
      <pane ySplit="7" topLeftCell="A8" activePane="bottomLeft" state="frozen"/>
      <selection pane="bottomLeft" activeCell="G18" sqref="G18"/>
    </sheetView>
  </sheetViews>
  <sheetFormatPr baseColWidth="10" defaultRowHeight="15"/>
  <cols>
    <col min="1" max="1" width="13.5703125" customWidth="1"/>
    <col min="2" max="2" width="64.7109375" customWidth="1"/>
    <col min="3" max="3" width="131.85546875" customWidth="1"/>
    <col min="4" max="4" width="46.5703125" customWidth="1"/>
    <col min="5" max="5" width="19.85546875" customWidth="1"/>
    <col min="6" max="6" width="16.7109375" customWidth="1"/>
    <col min="7" max="7" width="23.28515625" customWidth="1"/>
    <col min="8" max="8" width="24" bestFit="1" customWidth="1"/>
    <col min="9" max="9" width="23.42578125" bestFit="1" customWidth="1"/>
    <col min="10" max="10" width="20.140625" bestFit="1" customWidth="1"/>
    <col min="11" max="11" width="24.85546875" customWidth="1"/>
    <col min="12" max="12" width="24.140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28.5">
      <c r="A2" s="159" t="s">
        <v>613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5" spans="1:15" ht="18" customHeight="1"/>
    <row r="6" spans="1:15" ht="3.75" customHeight="1" thickBot="1"/>
    <row r="7" spans="1:15" ht="105.75" thickBot="1">
      <c r="A7" s="54" t="s">
        <v>1</v>
      </c>
      <c r="B7" s="36" t="s">
        <v>2</v>
      </c>
      <c r="C7" s="36" t="s">
        <v>3</v>
      </c>
      <c r="D7" s="36" t="s">
        <v>4</v>
      </c>
      <c r="E7" s="37" t="s">
        <v>578</v>
      </c>
      <c r="F7" s="37" t="s">
        <v>579</v>
      </c>
      <c r="G7" s="37" t="s">
        <v>5</v>
      </c>
      <c r="H7" s="42" t="s">
        <v>6</v>
      </c>
      <c r="I7" s="42" t="s">
        <v>7</v>
      </c>
      <c r="J7" s="42" t="s">
        <v>8</v>
      </c>
      <c r="K7" s="37" t="s">
        <v>9</v>
      </c>
      <c r="L7" s="37" t="s">
        <v>10</v>
      </c>
      <c r="M7" s="37" t="s">
        <v>11</v>
      </c>
      <c r="N7" s="36" t="s">
        <v>12</v>
      </c>
      <c r="O7" s="36" t="s">
        <v>13</v>
      </c>
    </row>
    <row r="8" spans="1:15" s="121" customFormat="1" ht="35.1" customHeight="1">
      <c r="A8" s="158" t="s">
        <v>14</v>
      </c>
      <c r="B8" s="116" t="s">
        <v>15</v>
      </c>
      <c r="C8" s="116" t="s">
        <v>16</v>
      </c>
      <c r="D8" s="116" t="s">
        <v>17</v>
      </c>
      <c r="E8" s="43">
        <v>44866</v>
      </c>
      <c r="F8" s="43">
        <v>45047</v>
      </c>
      <c r="G8" s="117">
        <v>100000</v>
      </c>
      <c r="H8" s="118">
        <v>12105.37</v>
      </c>
      <c r="I8" s="117">
        <v>2870</v>
      </c>
      <c r="J8" s="117">
        <v>3040</v>
      </c>
      <c r="K8" s="116">
        <v>25</v>
      </c>
      <c r="L8" s="117">
        <f>+Tabla1[[#This Row],[ISR
(Ley 11-92)
(1*)]]+Tabla1[[#This Row],[Seguro 
de Pensión 
(2.87%)  
(2*)]]+Tabla1[[#This Row],[Seguro 
de Salud 
(3.04%)
 (3*)]]+Tabla1[[#This Row],[Otros
 Descuentos]]</f>
        <v>18040.370000000003</v>
      </c>
      <c r="M8" s="117">
        <v>81959.63</v>
      </c>
      <c r="N8" s="119" t="s">
        <v>18</v>
      </c>
      <c r="O8" s="120" t="s">
        <v>19</v>
      </c>
    </row>
    <row r="9" spans="1:15" s="121" customFormat="1" ht="35.1" customHeight="1">
      <c r="A9" s="158" t="s">
        <v>20</v>
      </c>
      <c r="B9" s="122" t="s">
        <v>21</v>
      </c>
      <c r="C9" s="122" t="s">
        <v>16</v>
      </c>
      <c r="D9" s="122" t="s">
        <v>22</v>
      </c>
      <c r="E9" s="43">
        <v>44882</v>
      </c>
      <c r="F9" s="43">
        <v>45063</v>
      </c>
      <c r="G9" s="123">
        <v>80000</v>
      </c>
      <c r="H9" s="122">
        <v>7400.87</v>
      </c>
      <c r="I9" s="123">
        <v>2296</v>
      </c>
      <c r="J9" s="123">
        <v>2432</v>
      </c>
      <c r="K9" s="123">
        <v>8066.87</v>
      </c>
      <c r="L9" s="123">
        <f>+Tabla1[[#This Row],[ISR
(Ley 11-92)
(1*)]]+Tabla1[[#This Row],[Seguro 
de Pensión 
(2.87%)  
(2*)]]+Tabla1[[#This Row],[Seguro 
de Salud 
(3.04%)
 (3*)]]+Tabla1[[#This Row],[Otros
 Descuentos]]</f>
        <v>20195.739999999998</v>
      </c>
      <c r="M9" s="123">
        <v>59804.26</v>
      </c>
      <c r="N9" s="119" t="s">
        <v>18</v>
      </c>
      <c r="O9" s="124" t="s">
        <v>19</v>
      </c>
    </row>
    <row r="10" spans="1:15" s="121" customFormat="1" ht="35.1" customHeight="1">
      <c r="A10" s="158" t="s">
        <v>23</v>
      </c>
      <c r="B10" s="122" t="s">
        <v>24</v>
      </c>
      <c r="C10" s="122" t="s">
        <v>16</v>
      </c>
      <c r="D10" s="122" t="s">
        <v>22</v>
      </c>
      <c r="E10" s="43">
        <v>44882</v>
      </c>
      <c r="F10" s="43">
        <v>45063</v>
      </c>
      <c r="G10" s="123">
        <v>80000</v>
      </c>
      <c r="H10" s="125">
        <v>7400.87</v>
      </c>
      <c r="I10" s="123">
        <v>2296</v>
      </c>
      <c r="J10" s="123">
        <v>2432</v>
      </c>
      <c r="K10" s="122">
        <v>25</v>
      </c>
      <c r="L10" s="123">
        <f>+Tabla1[[#This Row],[ISR
(Ley 11-92)
(1*)]]+Tabla1[[#This Row],[Seguro 
de Pensión 
(2.87%)  
(2*)]]+Tabla1[[#This Row],[Seguro 
de Salud 
(3.04%)
 (3*)]]+Tabla1[[#This Row],[Otros
 Descuentos]]</f>
        <v>12153.869999999999</v>
      </c>
      <c r="M10" s="123">
        <v>67846.13</v>
      </c>
      <c r="N10" s="119" t="s">
        <v>18</v>
      </c>
      <c r="O10" s="124" t="s">
        <v>19</v>
      </c>
    </row>
    <row r="11" spans="1:15" s="121" customFormat="1" ht="35.1" customHeight="1">
      <c r="A11" s="158" t="s">
        <v>25</v>
      </c>
      <c r="B11" s="122" t="s">
        <v>26</v>
      </c>
      <c r="C11" s="122" t="s">
        <v>16</v>
      </c>
      <c r="D11" s="122" t="s">
        <v>22</v>
      </c>
      <c r="E11" s="44">
        <v>44889</v>
      </c>
      <c r="F11" s="44">
        <v>45070</v>
      </c>
      <c r="G11" s="123">
        <v>80000</v>
      </c>
      <c r="H11" s="125">
        <v>7400.87</v>
      </c>
      <c r="I11" s="123">
        <v>2296</v>
      </c>
      <c r="J11" s="123">
        <v>2432</v>
      </c>
      <c r="K11" s="122">
        <v>25</v>
      </c>
      <c r="L11" s="123">
        <f>+Tabla1[[#This Row],[ISR
(Ley 11-92)
(1*)]]+Tabla1[[#This Row],[Seguro 
de Pensión 
(2.87%)  
(2*)]]+Tabla1[[#This Row],[Seguro 
de Salud 
(3.04%)
 (3*)]]+Tabla1[[#This Row],[Otros
 Descuentos]]</f>
        <v>12153.869999999999</v>
      </c>
      <c r="M11" s="123">
        <v>67846.13</v>
      </c>
      <c r="N11" s="119" t="s">
        <v>18</v>
      </c>
      <c r="O11" s="124" t="s">
        <v>19</v>
      </c>
    </row>
    <row r="12" spans="1:15" s="121" customFormat="1" ht="35.1" customHeight="1">
      <c r="A12" s="158" t="s">
        <v>27</v>
      </c>
      <c r="B12" s="122" t="s">
        <v>28</v>
      </c>
      <c r="C12" s="122" t="s">
        <v>16</v>
      </c>
      <c r="D12" s="122" t="s">
        <v>22</v>
      </c>
      <c r="E12" s="43">
        <v>44797</v>
      </c>
      <c r="F12" s="43">
        <v>44981</v>
      </c>
      <c r="G12" s="123">
        <v>80000</v>
      </c>
      <c r="H12" s="125">
        <v>7022.76</v>
      </c>
      <c r="I12" s="123">
        <v>2296</v>
      </c>
      <c r="J12" s="123">
        <v>2432</v>
      </c>
      <c r="K12" s="123">
        <v>22331.83</v>
      </c>
      <c r="L12" s="123">
        <f>+Tabla1[[#This Row],[ISR
(Ley 11-92)
(1*)]]+Tabla1[[#This Row],[Seguro 
de Pensión 
(2.87%)  
(2*)]]+Tabla1[[#This Row],[Seguro 
de Salud 
(3.04%)
 (3*)]]+Tabla1[[#This Row],[Otros
 Descuentos]]</f>
        <v>34082.590000000004</v>
      </c>
      <c r="M12" s="123">
        <v>45917.41</v>
      </c>
      <c r="N12" s="119" t="s">
        <v>18</v>
      </c>
      <c r="O12" s="124" t="s">
        <v>19</v>
      </c>
    </row>
    <row r="13" spans="1:15" s="121" customFormat="1" ht="35.1" customHeight="1">
      <c r="A13" s="158" t="s">
        <v>29</v>
      </c>
      <c r="B13" s="122" t="s">
        <v>30</v>
      </c>
      <c r="C13" s="122" t="s">
        <v>16</v>
      </c>
      <c r="D13" s="122" t="s">
        <v>22</v>
      </c>
      <c r="E13" s="44">
        <v>44869</v>
      </c>
      <c r="F13" s="44">
        <v>45050</v>
      </c>
      <c r="G13" s="123">
        <v>80000</v>
      </c>
      <c r="H13" s="123">
        <v>7400.87</v>
      </c>
      <c r="I13" s="123">
        <v>2296</v>
      </c>
      <c r="J13" s="123">
        <v>2432</v>
      </c>
      <c r="K13" s="122">
        <v>25</v>
      </c>
      <c r="L13" s="123">
        <v>12153.87</v>
      </c>
      <c r="M13" s="123">
        <v>67846.13</v>
      </c>
      <c r="N13" s="119" t="s">
        <v>18</v>
      </c>
      <c r="O13" s="124" t="s">
        <v>19</v>
      </c>
    </row>
    <row r="14" spans="1:15" s="121" customFormat="1" ht="35.1" customHeight="1">
      <c r="A14" s="158" t="s">
        <v>31</v>
      </c>
      <c r="B14" s="122" t="s">
        <v>32</v>
      </c>
      <c r="C14" s="122" t="s">
        <v>16</v>
      </c>
      <c r="D14" s="122" t="s">
        <v>22</v>
      </c>
      <c r="E14" s="44">
        <v>44882</v>
      </c>
      <c r="F14" s="44">
        <v>45063</v>
      </c>
      <c r="G14" s="123">
        <v>80000</v>
      </c>
      <c r="H14" s="125">
        <v>7400.87</v>
      </c>
      <c r="I14" s="123">
        <v>2296</v>
      </c>
      <c r="J14" s="123">
        <v>2432</v>
      </c>
      <c r="K14" s="123">
        <v>2525</v>
      </c>
      <c r="L14" s="123">
        <v>14653.87</v>
      </c>
      <c r="M14" s="123">
        <v>65346.13</v>
      </c>
      <c r="N14" s="119" t="s">
        <v>18</v>
      </c>
      <c r="O14" s="124" t="s">
        <v>35</v>
      </c>
    </row>
    <row r="15" spans="1:15" s="121" customFormat="1" ht="35.1" customHeight="1">
      <c r="A15" s="158" t="s">
        <v>33</v>
      </c>
      <c r="B15" s="122" t="s">
        <v>34</v>
      </c>
      <c r="C15" s="122" t="s">
        <v>16</v>
      </c>
      <c r="D15" s="122" t="s">
        <v>22</v>
      </c>
      <c r="E15" s="44">
        <v>44882</v>
      </c>
      <c r="F15" s="44">
        <v>45063</v>
      </c>
      <c r="G15" s="123">
        <v>80000</v>
      </c>
      <c r="H15" s="123">
        <v>7400.87</v>
      </c>
      <c r="I15" s="123">
        <v>2296</v>
      </c>
      <c r="J15" s="123">
        <v>2432</v>
      </c>
      <c r="K15" s="122">
        <v>599.84</v>
      </c>
      <c r="L15" s="123">
        <v>12728.71</v>
      </c>
      <c r="M15" s="123">
        <v>67271.289999999994</v>
      </c>
      <c r="N15" s="119" t="s">
        <v>18</v>
      </c>
      <c r="O15" s="124" t="s">
        <v>35</v>
      </c>
    </row>
    <row r="16" spans="1:15" s="121" customFormat="1" ht="35.1" customHeight="1">
      <c r="A16" s="158" t="s">
        <v>36</v>
      </c>
      <c r="B16" s="122" t="s">
        <v>565</v>
      </c>
      <c r="C16" s="122" t="s">
        <v>16</v>
      </c>
      <c r="D16" s="122" t="s">
        <v>22</v>
      </c>
      <c r="E16" s="44">
        <v>44713</v>
      </c>
      <c r="F16" s="44">
        <v>44896</v>
      </c>
      <c r="G16" s="123">
        <v>80000</v>
      </c>
      <c r="H16" s="123">
        <v>7022.76</v>
      </c>
      <c r="I16" s="123">
        <v>2296</v>
      </c>
      <c r="J16" s="123">
        <v>2432</v>
      </c>
      <c r="K16" s="122">
        <v>1537.45</v>
      </c>
      <c r="L16" s="123">
        <f>+Tabla1[[#This Row],[ISR
(Ley 11-92)
(1*)]]+Tabla1[[#This Row],[Seguro 
de Pensión 
(2.87%)  
(2*)]]+Tabla1[[#This Row],[Seguro 
de Salud 
(3.04%)
 (3*)]]+Tabla1[[#This Row],[Otros
 Descuentos]]</f>
        <v>13288.210000000001</v>
      </c>
      <c r="M16" s="123">
        <v>66711.789999999994</v>
      </c>
      <c r="N16" s="119" t="s">
        <v>18</v>
      </c>
      <c r="O16" s="124" t="s">
        <v>19</v>
      </c>
    </row>
    <row r="17" spans="1:15" s="121" customFormat="1" ht="35.1" customHeight="1">
      <c r="A17" s="158" t="s">
        <v>39</v>
      </c>
      <c r="B17" s="122" t="s">
        <v>566</v>
      </c>
      <c r="C17" s="122" t="s">
        <v>16</v>
      </c>
      <c r="D17" s="122" t="s">
        <v>22</v>
      </c>
      <c r="E17" s="44">
        <v>44718</v>
      </c>
      <c r="F17" s="44">
        <v>44901</v>
      </c>
      <c r="G17" s="123">
        <v>80000</v>
      </c>
      <c r="H17" s="123">
        <v>7022.76</v>
      </c>
      <c r="I17" s="123">
        <v>2296</v>
      </c>
      <c r="J17" s="123">
        <v>2432</v>
      </c>
      <c r="K17" s="125">
        <v>6537.45</v>
      </c>
      <c r="L17" s="123">
        <f>+Tabla1[[#This Row],[ISR
(Ley 11-92)
(1*)]]+Tabla1[[#This Row],[Seguro 
de Pensión 
(2.87%)  
(2*)]]+Tabla1[[#This Row],[Seguro 
de Salud 
(3.04%)
 (3*)]]+Tabla1[[#This Row],[Otros
 Descuentos]]</f>
        <v>18288.21</v>
      </c>
      <c r="M17" s="123">
        <v>61711.79</v>
      </c>
      <c r="N17" s="119" t="s">
        <v>18</v>
      </c>
      <c r="O17" s="124" t="s">
        <v>19</v>
      </c>
    </row>
    <row r="18" spans="1:15" s="121" customFormat="1" ht="35.1" customHeight="1">
      <c r="A18" s="158" t="s">
        <v>41</v>
      </c>
      <c r="B18" s="122" t="s">
        <v>37</v>
      </c>
      <c r="C18" s="122" t="s">
        <v>16</v>
      </c>
      <c r="D18" s="122" t="s">
        <v>38</v>
      </c>
      <c r="E18" s="44">
        <v>44835</v>
      </c>
      <c r="F18" s="44">
        <v>45017</v>
      </c>
      <c r="G18" s="123">
        <v>65000</v>
      </c>
      <c r="H18" s="123">
        <v>4427.58</v>
      </c>
      <c r="I18" s="123">
        <v>1865.5</v>
      </c>
      <c r="J18" s="123">
        <v>1976</v>
      </c>
      <c r="K18" s="122">
        <v>25</v>
      </c>
      <c r="L18" s="123">
        <v>8294.08</v>
      </c>
      <c r="M18" s="123">
        <v>56705.919999999998</v>
      </c>
      <c r="N18" s="119" t="s">
        <v>18</v>
      </c>
      <c r="O18" s="124" t="s">
        <v>19</v>
      </c>
    </row>
    <row r="19" spans="1:15" s="121" customFormat="1" ht="35.1" customHeight="1">
      <c r="A19" s="158" t="s">
        <v>44</v>
      </c>
      <c r="B19" s="122" t="s">
        <v>40</v>
      </c>
      <c r="C19" s="122" t="s">
        <v>16</v>
      </c>
      <c r="D19" s="122" t="s">
        <v>38</v>
      </c>
      <c r="E19" s="45">
        <v>44756</v>
      </c>
      <c r="F19" s="45">
        <v>44940</v>
      </c>
      <c r="G19" s="123">
        <v>90000</v>
      </c>
      <c r="H19" s="123">
        <v>9753.1200000000008</v>
      </c>
      <c r="I19" s="123">
        <v>2583</v>
      </c>
      <c r="J19" s="123">
        <v>2736</v>
      </c>
      <c r="K19" s="122">
        <v>25</v>
      </c>
      <c r="L19" s="123">
        <v>15097.12</v>
      </c>
      <c r="M19" s="123">
        <v>74902.880000000005</v>
      </c>
      <c r="N19" s="119" t="s">
        <v>18</v>
      </c>
      <c r="O19" s="124" t="s">
        <v>35</v>
      </c>
    </row>
    <row r="20" spans="1:15" s="121" customFormat="1" ht="35.1" customHeight="1">
      <c r="A20" s="158" t="s">
        <v>48</v>
      </c>
      <c r="B20" s="122" t="s">
        <v>42</v>
      </c>
      <c r="C20" s="122" t="s">
        <v>16</v>
      </c>
      <c r="D20" s="122" t="s">
        <v>43</v>
      </c>
      <c r="E20" s="44">
        <v>44835</v>
      </c>
      <c r="F20" s="44">
        <v>45017</v>
      </c>
      <c r="G20" s="123">
        <v>65000</v>
      </c>
      <c r="H20" s="125">
        <v>4427.58</v>
      </c>
      <c r="I20" s="123">
        <v>1865.5</v>
      </c>
      <c r="J20" s="123">
        <v>1976</v>
      </c>
      <c r="K20" s="122">
        <v>599.84</v>
      </c>
      <c r="L20" s="123">
        <f>+Tabla1[[#This Row],[ISR
(Ley 11-92)
(1*)]]+Tabla1[[#This Row],[Seguro 
de Pensión 
(2.87%)  
(2*)]]+Tabla1[[#This Row],[Seguro 
de Salud 
(3.04%)
 (3*)]]+Tabla1[[#This Row],[Otros
 Descuentos]]</f>
        <v>8868.92</v>
      </c>
      <c r="M20" s="123">
        <v>56131.08</v>
      </c>
      <c r="N20" s="119" t="s">
        <v>18</v>
      </c>
      <c r="O20" s="124" t="s">
        <v>19</v>
      </c>
    </row>
    <row r="21" spans="1:15" s="121" customFormat="1" ht="35.1" customHeight="1">
      <c r="A21" s="158" t="s">
        <v>50</v>
      </c>
      <c r="B21" s="122" t="s">
        <v>45</v>
      </c>
      <c r="C21" s="122" t="s">
        <v>46</v>
      </c>
      <c r="D21" s="122" t="s">
        <v>47</v>
      </c>
      <c r="E21" s="44">
        <v>44805</v>
      </c>
      <c r="F21" s="44">
        <v>44986</v>
      </c>
      <c r="G21" s="123">
        <v>125000</v>
      </c>
      <c r="H21" s="123">
        <v>17607.88</v>
      </c>
      <c r="I21" s="123">
        <v>3587.5</v>
      </c>
      <c r="J21" s="123">
        <v>3800</v>
      </c>
      <c r="K21" s="123">
        <v>1537.45</v>
      </c>
      <c r="L21" s="123">
        <f>+Tabla1[[#This Row],[ISR
(Ley 11-92)
(1*)]]+Tabla1[[#This Row],[Seguro 
de Pensión 
(2.87%)  
(2*)]]+Tabla1[[#This Row],[Seguro 
de Salud 
(3.04%)
 (3*)]]+Tabla1[[#This Row],[Otros
 Descuentos]]</f>
        <v>26532.83</v>
      </c>
      <c r="M21" s="123">
        <f>+Tabla1[[#This Row],[Sueldo Bruto
(RD$)]]-Tabla1[[#This Row],[Total de 
Descuentos]]</f>
        <v>98467.17</v>
      </c>
      <c r="N21" s="119" t="s">
        <v>18</v>
      </c>
      <c r="O21" s="124" t="s">
        <v>19</v>
      </c>
    </row>
    <row r="22" spans="1:15" s="121" customFormat="1" ht="35.1" customHeight="1">
      <c r="A22" s="158" t="s">
        <v>52</v>
      </c>
      <c r="B22" s="122" t="s">
        <v>51</v>
      </c>
      <c r="C22" s="122" t="s">
        <v>46</v>
      </c>
      <c r="D22" s="122" t="s">
        <v>49</v>
      </c>
      <c r="E22" s="43">
        <v>44805</v>
      </c>
      <c r="F22" s="43">
        <v>44986</v>
      </c>
      <c r="G22" s="123">
        <v>70000</v>
      </c>
      <c r="H22" s="123">
        <v>5368.48</v>
      </c>
      <c r="I22" s="123">
        <v>2009</v>
      </c>
      <c r="J22" s="123">
        <v>2128</v>
      </c>
      <c r="K22" s="122">
        <v>25</v>
      </c>
      <c r="L22" s="123">
        <f>+Tabla1[[#This Row],[ISR
(Ley 11-92)
(1*)]]+Tabla1[[#This Row],[Seguro 
de Pensión 
(2.87%)  
(2*)]]+Tabla1[[#This Row],[Seguro 
de Salud 
(3.04%)
 (3*)]]+Tabla1[[#This Row],[Otros
 Descuentos]]</f>
        <v>9530.48</v>
      </c>
      <c r="M22" s="123">
        <f>+Tabla1[[#This Row],[Sueldo Bruto
(RD$)]]-Tabla1[[#This Row],[Total de 
Descuentos]]</f>
        <v>60469.520000000004</v>
      </c>
      <c r="N22" s="119" t="s">
        <v>18</v>
      </c>
      <c r="O22" s="124" t="s">
        <v>19</v>
      </c>
    </row>
    <row r="23" spans="1:15" s="121" customFormat="1" ht="35.1" customHeight="1">
      <c r="A23" s="158" t="s">
        <v>56</v>
      </c>
      <c r="B23" s="122" t="s">
        <v>600</v>
      </c>
      <c r="C23" s="122" t="s">
        <v>46</v>
      </c>
      <c r="D23" s="122" t="s">
        <v>49</v>
      </c>
      <c r="E23" s="43">
        <v>44835</v>
      </c>
      <c r="F23" s="143">
        <v>45017</v>
      </c>
      <c r="G23" s="144">
        <v>65000</v>
      </c>
      <c r="H23" s="144">
        <v>4427.58</v>
      </c>
      <c r="I23" s="144">
        <v>1865.5</v>
      </c>
      <c r="J23" s="144">
        <v>1976</v>
      </c>
      <c r="K23" s="142">
        <v>25</v>
      </c>
      <c r="L23" s="144">
        <f>+Tabla1[[#This Row],[ISR
(Ley 11-92)
(1*)]]+Tabla1[[#This Row],[Seguro 
de Pensión 
(2.87%)  
(2*)]]+Tabla1[[#This Row],[Seguro 
de Salud 
(3.04%)
 (3*)]]+Tabla1[[#This Row],[Otros
 Descuentos]]</f>
        <v>8294.08</v>
      </c>
      <c r="M23" s="144">
        <f>+Tabla1[[#This Row],[Sueldo Bruto
(RD$)]]-Tabla1[[#This Row],[Total de 
Descuentos]]</f>
        <v>56705.919999999998</v>
      </c>
      <c r="N23" s="119" t="s">
        <v>18</v>
      </c>
      <c r="O23" s="124" t="s">
        <v>19</v>
      </c>
    </row>
    <row r="24" spans="1:15" s="121" customFormat="1" ht="35.1" customHeight="1">
      <c r="A24" s="158" t="s">
        <v>58</v>
      </c>
      <c r="B24" s="142" t="s">
        <v>601</v>
      </c>
      <c r="C24" s="122" t="s">
        <v>46</v>
      </c>
      <c r="D24" s="122" t="s">
        <v>49</v>
      </c>
      <c r="E24" s="43">
        <v>44835</v>
      </c>
      <c r="F24" s="143">
        <v>45017</v>
      </c>
      <c r="G24" s="144">
        <v>65000</v>
      </c>
      <c r="H24" s="144">
        <v>4427.58</v>
      </c>
      <c r="I24" s="144">
        <v>1865.5</v>
      </c>
      <c r="J24" s="144">
        <v>1976</v>
      </c>
      <c r="K24" s="142">
        <v>25</v>
      </c>
      <c r="L24" s="144">
        <f>+Tabla1[[#This Row],[ISR
(Ley 11-92)
(1*)]]+Tabla1[[#This Row],[Seguro 
de Pensión 
(2.87%)  
(2*)]]+Tabla1[[#This Row],[Seguro 
de Salud 
(3.04%)
 (3*)]]+Tabla1[[#This Row],[Otros
 Descuentos]]</f>
        <v>8294.08</v>
      </c>
      <c r="M24" s="144">
        <f>+Tabla1[[#This Row],[Sueldo Bruto
(RD$)]]-Tabla1[[#This Row],[Total de 
Descuentos]]</f>
        <v>56705.919999999998</v>
      </c>
      <c r="N24" s="119" t="s">
        <v>18</v>
      </c>
      <c r="O24" s="145" t="s">
        <v>35</v>
      </c>
    </row>
    <row r="25" spans="1:15" s="121" customFormat="1" ht="35.1" customHeight="1">
      <c r="A25" s="158" t="s">
        <v>60</v>
      </c>
      <c r="B25" s="122" t="s">
        <v>587</v>
      </c>
      <c r="C25" s="122" t="s">
        <v>46</v>
      </c>
      <c r="D25" s="122" t="s">
        <v>588</v>
      </c>
      <c r="E25" s="43">
        <v>44774</v>
      </c>
      <c r="F25" s="43">
        <v>44958</v>
      </c>
      <c r="G25" s="123">
        <v>70000</v>
      </c>
      <c r="H25" s="123">
        <v>5368.48</v>
      </c>
      <c r="I25" s="123">
        <v>2009</v>
      </c>
      <c r="J25" s="123">
        <v>2128</v>
      </c>
      <c r="K25" s="122">
        <v>25</v>
      </c>
      <c r="L25" s="123">
        <f>+Tabla1[[#This Row],[ISR
(Ley 11-92)
(1*)]]+Tabla1[[#This Row],[Seguro 
de Pensión 
(2.87%)  
(2*)]]+Tabla1[[#This Row],[Seguro 
de Salud 
(3.04%)
 (3*)]]+Tabla1[[#This Row],[Otros
 Descuentos]]</f>
        <v>9530.48</v>
      </c>
      <c r="M25" s="123">
        <f>+Tabla1[[#This Row],[Sueldo Bruto
(RD$)]]-Tabla1[[#This Row],[Total de 
Descuentos]]</f>
        <v>60469.520000000004</v>
      </c>
      <c r="N25" s="119" t="s">
        <v>18</v>
      </c>
      <c r="O25" s="124" t="s">
        <v>19</v>
      </c>
    </row>
    <row r="26" spans="1:15" s="121" customFormat="1" ht="35.1" customHeight="1">
      <c r="A26" s="158" t="s">
        <v>62</v>
      </c>
      <c r="B26" s="122" t="s">
        <v>265</v>
      </c>
      <c r="C26" s="122" t="s">
        <v>46</v>
      </c>
      <c r="D26" s="122" t="s">
        <v>584</v>
      </c>
      <c r="E26" s="43">
        <v>44713</v>
      </c>
      <c r="F26" s="43">
        <v>44896</v>
      </c>
      <c r="G26" s="123">
        <v>50000</v>
      </c>
      <c r="H26" s="123">
        <v>0</v>
      </c>
      <c r="I26" s="123">
        <v>1435</v>
      </c>
      <c r="J26" s="123">
        <v>1520</v>
      </c>
      <c r="K26" s="122">
        <v>125</v>
      </c>
      <c r="L26" s="123">
        <v>3080</v>
      </c>
      <c r="M26" s="123">
        <v>46920</v>
      </c>
      <c r="N26" s="119" t="s">
        <v>18</v>
      </c>
      <c r="O26" s="124" t="s">
        <v>35</v>
      </c>
    </row>
    <row r="27" spans="1:15" s="121" customFormat="1" ht="35.1" customHeight="1">
      <c r="A27" s="158" t="s">
        <v>65</v>
      </c>
      <c r="B27" s="122" t="s">
        <v>53</v>
      </c>
      <c r="C27" s="122" t="s">
        <v>54</v>
      </c>
      <c r="D27" s="122" t="s">
        <v>55</v>
      </c>
      <c r="E27" s="44">
        <v>44805</v>
      </c>
      <c r="F27" s="44">
        <v>44986</v>
      </c>
      <c r="G27" s="123">
        <v>135000</v>
      </c>
      <c r="H27" s="123">
        <v>20338.240000000002</v>
      </c>
      <c r="I27" s="123">
        <v>3874.5</v>
      </c>
      <c r="J27" s="123">
        <v>4104</v>
      </c>
      <c r="K27" s="123">
        <v>1275</v>
      </c>
      <c r="L27" s="123">
        <f>+Tabla1[[#This Row],[ISR
(Ley 11-92)
(1*)]]+Tabla1[[#This Row],[Seguro 
de Pensión 
(2.87%)  
(2*)]]+Tabla1[[#This Row],[Seguro 
de Salud 
(3.04%)
 (3*)]]+Tabla1[[#This Row],[Otros
 Descuentos]]</f>
        <v>29591.74</v>
      </c>
      <c r="M27" s="123">
        <f>+Tabla1[[#This Row],[Sueldo Bruto
(RD$)]]-Tabla1[[#This Row],[Total de 
Descuentos]]</f>
        <v>105408.26</v>
      </c>
      <c r="N27" s="119" t="s">
        <v>18</v>
      </c>
      <c r="O27" s="124" t="s">
        <v>19</v>
      </c>
    </row>
    <row r="28" spans="1:15" s="121" customFormat="1" ht="35.1" customHeight="1">
      <c r="A28" s="158" t="s">
        <v>68</v>
      </c>
      <c r="B28" s="122" t="s">
        <v>57</v>
      </c>
      <c r="C28" s="122" t="s">
        <v>54</v>
      </c>
      <c r="D28" s="122" t="s">
        <v>38</v>
      </c>
      <c r="E28" s="45">
        <v>44805</v>
      </c>
      <c r="F28" s="45">
        <v>44986</v>
      </c>
      <c r="G28" s="123">
        <v>85000</v>
      </c>
      <c r="H28" s="123">
        <v>8576.99</v>
      </c>
      <c r="I28" s="123">
        <v>2439.5</v>
      </c>
      <c r="J28" s="123">
        <v>2584</v>
      </c>
      <c r="K28" s="122">
        <v>25</v>
      </c>
      <c r="L28" s="123">
        <v>13625.49</v>
      </c>
      <c r="M28" s="123">
        <v>71374.509999999995</v>
      </c>
      <c r="N28" s="119" t="s">
        <v>18</v>
      </c>
      <c r="O28" s="124" t="s">
        <v>35</v>
      </c>
    </row>
    <row r="29" spans="1:15" s="121" customFormat="1" ht="35.1" customHeight="1">
      <c r="A29" s="158" t="s">
        <v>70</v>
      </c>
      <c r="B29" s="122" t="s">
        <v>200</v>
      </c>
      <c r="C29" s="122" t="s">
        <v>54</v>
      </c>
      <c r="D29" s="122" t="s">
        <v>38</v>
      </c>
      <c r="E29" s="44">
        <v>44805</v>
      </c>
      <c r="F29" s="44">
        <v>44986</v>
      </c>
      <c r="G29" s="123">
        <v>85000</v>
      </c>
      <c r="H29" s="123">
        <v>8576.99</v>
      </c>
      <c r="I29" s="123">
        <v>2439.5</v>
      </c>
      <c r="J29" s="123">
        <v>2584</v>
      </c>
      <c r="K29" s="125">
        <v>3125</v>
      </c>
      <c r="L29" s="123">
        <v>16725.490000000002</v>
      </c>
      <c r="M29" s="123">
        <v>68274.509999999995</v>
      </c>
      <c r="N29" s="119" t="s">
        <v>18</v>
      </c>
      <c r="O29" s="124" t="s">
        <v>19</v>
      </c>
    </row>
    <row r="30" spans="1:15" s="121" customFormat="1" ht="35.1" customHeight="1">
      <c r="A30" s="158" t="s">
        <v>73</v>
      </c>
      <c r="B30" s="122" t="s">
        <v>586</v>
      </c>
      <c r="C30" s="122" t="s">
        <v>54</v>
      </c>
      <c r="D30" s="122" t="s">
        <v>38</v>
      </c>
      <c r="E30" s="44">
        <v>44743</v>
      </c>
      <c r="F30" s="44">
        <v>44927</v>
      </c>
      <c r="G30" s="123">
        <v>65000</v>
      </c>
      <c r="H30" s="123">
        <v>4427.58</v>
      </c>
      <c r="I30" s="123">
        <f>+Tabla1[[#This Row],[Sueldo Bruto
(RD$)]]*0.0287</f>
        <v>1865.5</v>
      </c>
      <c r="J30" s="123">
        <f>+Tabla1[[#This Row],[Sueldo Bruto
(RD$)]]*0.0304</f>
        <v>1976</v>
      </c>
      <c r="K30" s="125">
        <v>2725</v>
      </c>
      <c r="L30" s="123">
        <v>10994.08</v>
      </c>
      <c r="M30" s="123">
        <v>54005.919999999998</v>
      </c>
      <c r="N30" s="119" t="s">
        <v>18</v>
      </c>
      <c r="O30" s="124" t="s">
        <v>19</v>
      </c>
    </row>
    <row r="31" spans="1:15" s="121" customFormat="1" ht="35.1" customHeight="1">
      <c r="A31" s="158" t="s">
        <v>74</v>
      </c>
      <c r="B31" s="122" t="s">
        <v>589</v>
      </c>
      <c r="C31" s="122" t="s">
        <v>54</v>
      </c>
      <c r="D31" s="122" t="s">
        <v>59</v>
      </c>
      <c r="E31" s="44">
        <v>44788</v>
      </c>
      <c r="F31" s="44">
        <v>44972</v>
      </c>
      <c r="G31" s="123">
        <v>42000</v>
      </c>
      <c r="H31" s="123">
        <v>724.92</v>
      </c>
      <c r="I31" s="123">
        <v>1205.4000000000001</v>
      </c>
      <c r="J31" s="123">
        <v>1276.8</v>
      </c>
      <c r="K31" s="122">
        <v>25</v>
      </c>
      <c r="L31" s="123">
        <v>3232.12</v>
      </c>
      <c r="M31" s="123">
        <v>38767.879999999997</v>
      </c>
      <c r="N31" s="119" t="s">
        <v>18</v>
      </c>
      <c r="O31" s="124" t="s">
        <v>19</v>
      </c>
    </row>
    <row r="32" spans="1:15" s="121" customFormat="1" ht="35.1" customHeight="1">
      <c r="A32" s="158" t="s">
        <v>77</v>
      </c>
      <c r="B32" s="142" t="s">
        <v>607</v>
      </c>
      <c r="C32" s="122" t="s">
        <v>61</v>
      </c>
      <c r="D32" s="122" t="s">
        <v>606</v>
      </c>
      <c r="E32" s="146">
        <v>44774</v>
      </c>
      <c r="F32" s="146">
        <v>44958</v>
      </c>
      <c r="G32" s="144">
        <v>135000</v>
      </c>
      <c r="H32" s="144">
        <v>20338.240000000002</v>
      </c>
      <c r="I32" s="144">
        <v>3874.5</v>
      </c>
      <c r="J32" s="144">
        <v>4104</v>
      </c>
      <c r="K32" s="142">
        <v>25</v>
      </c>
      <c r="L32" s="144">
        <f>+Tabla1[[#This Row],[ISR
(Ley 11-92)
(1*)]]+Tabla1[[#This Row],[Seguro 
de Pensión 
(2.87%)  
(2*)]]+Tabla1[[#This Row],[Seguro 
de Salud 
(3.04%)
 (3*)]]+Tabla1[[#This Row],[Otros
 Descuentos]]</f>
        <v>28341.74</v>
      </c>
      <c r="M32" s="144">
        <f>+Tabla1[[#This Row],[Sueldo Bruto
(RD$)]]-Tabla1[[#This Row],[Total de 
Descuentos]]</f>
        <v>106658.26</v>
      </c>
      <c r="N32" s="119" t="s">
        <v>18</v>
      </c>
      <c r="O32" s="124" t="s">
        <v>35</v>
      </c>
    </row>
    <row r="33" spans="1:15" s="121" customFormat="1" ht="35.1" customHeight="1">
      <c r="A33" s="158" t="s">
        <v>79</v>
      </c>
      <c r="B33" s="122" t="s">
        <v>63</v>
      </c>
      <c r="C33" s="122" t="s">
        <v>61</v>
      </c>
      <c r="D33" s="122" t="s">
        <v>64</v>
      </c>
      <c r="E33" s="44">
        <v>44849</v>
      </c>
      <c r="F33" s="44">
        <v>45031</v>
      </c>
      <c r="G33" s="123">
        <v>120000</v>
      </c>
      <c r="H33" s="123">
        <v>16809.87</v>
      </c>
      <c r="I33" s="123">
        <v>3444</v>
      </c>
      <c r="J33" s="123">
        <v>3648</v>
      </c>
      <c r="K33" s="122">
        <v>25</v>
      </c>
      <c r="L33" s="123">
        <f>+Tabla1[[#This Row],[ISR
(Ley 11-92)
(1*)]]+Tabla1[[#This Row],[Seguro 
de Pensión 
(2.87%)  
(2*)]]+Tabla1[[#This Row],[Seguro 
de Salud 
(3.04%)
 (3*)]]+Tabla1[[#This Row],[Otros
 Descuentos]]</f>
        <v>23926.87</v>
      </c>
      <c r="M33" s="123">
        <f>+Tabla1[[#This Row],[Sueldo Bruto
(RD$)]]-Tabla1[[#This Row],[Total de 
Descuentos]]</f>
        <v>96073.13</v>
      </c>
      <c r="N33" s="119" t="s">
        <v>18</v>
      </c>
      <c r="O33" s="124" t="s">
        <v>35</v>
      </c>
    </row>
    <row r="34" spans="1:15" s="121" customFormat="1" ht="35.1" customHeight="1">
      <c r="A34" s="158" t="s">
        <v>81</v>
      </c>
      <c r="B34" s="122" t="s">
        <v>66</v>
      </c>
      <c r="C34" s="122" t="s">
        <v>61</v>
      </c>
      <c r="D34" s="122" t="s">
        <v>67</v>
      </c>
      <c r="E34" s="44">
        <v>44866</v>
      </c>
      <c r="F34" s="44">
        <v>45047</v>
      </c>
      <c r="G34" s="123">
        <v>120000</v>
      </c>
      <c r="H34" s="123">
        <v>16809.87</v>
      </c>
      <c r="I34" s="123">
        <v>3444</v>
      </c>
      <c r="J34" s="123">
        <v>3648</v>
      </c>
      <c r="K34" s="122">
        <v>25</v>
      </c>
      <c r="L34" s="123">
        <v>23926.87</v>
      </c>
      <c r="M34" s="123">
        <v>96073.13</v>
      </c>
      <c r="N34" s="119" t="s">
        <v>18</v>
      </c>
      <c r="O34" s="124" t="s">
        <v>35</v>
      </c>
    </row>
    <row r="35" spans="1:15" s="121" customFormat="1" ht="35.1" customHeight="1">
      <c r="A35" s="158" t="s">
        <v>84</v>
      </c>
      <c r="B35" s="122" t="s">
        <v>69</v>
      </c>
      <c r="C35" s="122" t="s">
        <v>61</v>
      </c>
      <c r="D35" s="122" t="s">
        <v>67</v>
      </c>
      <c r="E35" s="44">
        <v>44849</v>
      </c>
      <c r="F35" s="44">
        <v>45031</v>
      </c>
      <c r="G35" s="123">
        <v>50000</v>
      </c>
      <c r="H35" s="123">
        <v>1854</v>
      </c>
      <c r="I35" s="123">
        <v>1435</v>
      </c>
      <c r="J35" s="123">
        <v>1520</v>
      </c>
      <c r="K35" s="122">
        <v>25</v>
      </c>
      <c r="L35" s="123">
        <v>4834</v>
      </c>
      <c r="M35" s="123">
        <v>45166</v>
      </c>
      <c r="N35" s="119" t="s">
        <v>18</v>
      </c>
      <c r="O35" s="124" t="s">
        <v>35</v>
      </c>
    </row>
    <row r="36" spans="1:15" s="121" customFormat="1" ht="35.1" customHeight="1">
      <c r="A36" s="158" t="s">
        <v>87</v>
      </c>
      <c r="B36" s="122" t="s">
        <v>71</v>
      </c>
      <c r="C36" s="122" t="s">
        <v>61</v>
      </c>
      <c r="D36" s="122" t="s">
        <v>72</v>
      </c>
      <c r="E36" s="44">
        <v>44848</v>
      </c>
      <c r="F36" s="44">
        <v>45030</v>
      </c>
      <c r="G36" s="123">
        <v>80000</v>
      </c>
      <c r="H36" s="123">
        <v>7400.87</v>
      </c>
      <c r="I36" s="123">
        <v>2296</v>
      </c>
      <c r="J36" s="123">
        <v>2432</v>
      </c>
      <c r="K36" s="122">
        <v>25</v>
      </c>
      <c r="L36" s="123">
        <v>12153.87</v>
      </c>
      <c r="M36" s="123">
        <v>67846.13</v>
      </c>
      <c r="N36" s="119" t="s">
        <v>18</v>
      </c>
      <c r="O36" s="124" t="s">
        <v>35</v>
      </c>
    </row>
    <row r="37" spans="1:15" s="121" customFormat="1" ht="35.1" customHeight="1">
      <c r="A37" s="158" t="s">
        <v>90</v>
      </c>
      <c r="B37" s="122" t="s">
        <v>567</v>
      </c>
      <c r="C37" s="122" t="s">
        <v>61</v>
      </c>
      <c r="D37" s="122" t="s">
        <v>67</v>
      </c>
      <c r="E37" s="44">
        <v>44713</v>
      </c>
      <c r="F37" s="44">
        <v>44896</v>
      </c>
      <c r="G37" s="123">
        <v>90000</v>
      </c>
      <c r="H37" s="123">
        <v>9753.1200000000008</v>
      </c>
      <c r="I37" s="123">
        <v>2583</v>
      </c>
      <c r="J37" s="123">
        <v>2736</v>
      </c>
      <c r="K37" s="125">
        <v>9025</v>
      </c>
      <c r="L37" s="123">
        <f>+Tabla1[[#This Row],[ISR
(Ley 11-92)
(1*)]]+Tabla1[[#This Row],[Seguro 
de Pensión 
(2.87%)  
(2*)]]+Tabla1[[#This Row],[Seguro 
de Salud 
(3.04%)
 (3*)]]+Tabla1[[#This Row],[Otros
 Descuentos]]</f>
        <v>24097.120000000003</v>
      </c>
      <c r="M37" s="123">
        <f>+Tabla1[[#This Row],[Sueldo Bruto
(RD$)]]-Tabla1[[#This Row],[Total de 
Descuentos]]</f>
        <v>65902.880000000005</v>
      </c>
      <c r="N37" s="126" t="s">
        <v>18</v>
      </c>
      <c r="O37" s="124" t="s">
        <v>35</v>
      </c>
    </row>
    <row r="38" spans="1:15" s="121" customFormat="1" ht="35.1" customHeight="1">
      <c r="A38" s="158" t="s">
        <v>92</v>
      </c>
      <c r="B38" s="122" t="s">
        <v>96</v>
      </c>
      <c r="C38" s="122" t="s">
        <v>61</v>
      </c>
      <c r="D38" s="122" t="s">
        <v>591</v>
      </c>
      <c r="E38" s="43">
        <v>44713</v>
      </c>
      <c r="F38" s="43">
        <v>44896</v>
      </c>
      <c r="G38" s="123">
        <v>80000</v>
      </c>
      <c r="H38" s="123">
        <v>7400.87</v>
      </c>
      <c r="I38" s="123">
        <v>2296</v>
      </c>
      <c r="J38" s="123">
        <v>2432</v>
      </c>
      <c r="K38" s="123">
        <v>6125</v>
      </c>
      <c r="L38" s="123">
        <v>18253.87</v>
      </c>
      <c r="M38" s="123">
        <v>61746.13</v>
      </c>
      <c r="N38" s="119" t="s">
        <v>18</v>
      </c>
      <c r="O38" s="124" t="s">
        <v>35</v>
      </c>
    </row>
    <row r="39" spans="1:15" s="121" customFormat="1" ht="35.1" customHeight="1">
      <c r="A39" s="158" t="s">
        <v>95</v>
      </c>
      <c r="B39" s="122" t="s">
        <v>75</v>
      </c>
      <c r="C39" s="122" t="s">
        <v>61</v>
      </c>
      <c r="D39" s="122" t="s">
        <v>76</v>
      </c>
      <c r="E39" s="44">
        <v>44849</v>
      </c>
      <c r="F39" s="44">
        <v>45031</v>
      </c>
      <c r="G39" s="123">
        <v>110000</v>
      </c>
      <c r="H39" s="123">
        <v>14457.62</v>
      </c>
      <c r="I39" s="123">
        <v>3157</v>
      </c>
      <c r="J39" s="123">
        <v>3344</v>
      </c>
      <c r="K39" s="122">
        <v>25</v>
      </c>
      <c r="L39" s="123">
        <v>20983.62</v>
      </c>
      <c r="M39" s="123">
        <v>89016.38</v>
      </c>
      <c r="N39" s="119" t="s">
        <v>18</v>
      </c>
      <c r="O39" s="124" t="s">
        <v>35</v>
      </c>
    </row>
    <row r="40" spans="1:15" s="121" customFormat="1" ht="35.1" customHeight="1">
      <c r="A40" s="158" t="s">
        <v>98</v>
      </c>
      <c r="B40" s="122" t="s">
        <v>78</v>
      </c>
      <c r="C40" s="122" t="s">
        <v>61</v>
      </c>
      <c r="D40" s="122" t="s">
        <v>76</v>
      </c>
      <c r="E40" s="44">
        <v>44849</v>
      </c>
      <c r="F40" s="44">
        <v>45031</v>
      </c>
      <c r="G40" s="123">
        <v>70000</v>
      </c>
      <c r="H40" s="123">
        <v>5368.48</v>
      </c>
      <c r="I40" s="123">
        <v>2009</v>
      </c>
      <c r="J40" s="123">
        <v>2128</v>
      </c>
      <c r="K40" s="122">
        <v>25</v>
      </c>
      <c r="L40" s="123">
        <v>9530.48</v>
      </c>
      <c r="M40" s="123">
        <v>60469.52</v>
      </c>
      <c r="N40" s="119" t="s">
        <v>18</v>
      </c>
      <c r="O40" s="124" t="s">
        <v>35</v>
      </c>
    </row>
    <row r="41" spans="1:15" s="121" customFormat="1" ht="35.1" customHeight="1">
      <c r="A41" s="158" t="s">
        <v>99</v>
      </c>
      <c r="B41" s="122" t="s">
        <v>80</v>
      </c>
      <c r="C41" s="122" t="s">
        <v>61</v>
      </c>
      <c r="D41" s="122" t="s">
        <v>76</v>
      </c>
      <c r="E41" s="44">
        <v>44727</v>
      </c>
      <c r="F41" s="44">
        <v>44910</v>
      </c>
      <c r="G41" s="123">
        <v>65000</v>
      </c>
      <c r="H41" s="123">
        <v>4427.58</v>
      </c>
      <c r="I41" s="123">
        <v>1865.5</v>
      </c>
      <c r="J41" s="123">
        <v>1976</v>
      </c>
      <c r="K41" s="122">
        <v>25</v>
      </c>
      <c r="L41" s="123">
        <v>8294.08</v>
      </c>
      <c r="M41" s="123">
        <v>56705.919999999998</v>
      </c>
      <c r="N41" s="119" t="s">
        <v>18</v>
      </c>
      <c r="O41" s="124" t="s">
        <v>35</v>
      </c>
    </row>
    <row r="42" spans="1:15" s="121" customFormat="1" ht="35.1" customHeight="1">
      <c r="A42" s="158" t="s">
        <v>102</v>
      </c>
      <c r="B42" s="122" t="s">
        <v>82</v>
      </c>
      <c r="C42" s="122" t="s">
        <v>61</v>
      </c>
      <c r="D42" s="122" t="s">
        <v>83</v>
      </c>
      <c r="E42" s="44">
        <v>44835</v>
      </c>
      <c r="F42" s="44">
        <v>45017</v>
      </c>
      <c r="G42" s="123">
        <v>65000</v>
      </c>
      <c r="H42" s="125">
        <v>4427.58</v>
      </c>
      <c r="I42" s="123">
        <v>1865.5</v>
      </c>
      <c r="J42" s="123">
        <v>1976</v>
      </c>
      <c r="K42" s="123">
        <v>5025</v>
      </c>
      <c r="L42" s="123">
        <f>+Tabla1[[#This Row],[ISR
(Ley 11-92)
(1*)]]+Tabla1[[#This Row],[Seguro 
de Pensión 
(2.87%)  
(2*)]]+Tabla1[[#This Row],[Seguro 
de Salud 
(3.04%)
 (3*)]]+Tabla1[[#This Row],[Otros
 Descuentos]]</f>
        <v>13294.08</v>
      </c>
      <c r="M42" s="123">
        <f>+Tabla1[[#This Row],[Sueldo Bruto
(RD$)]]-Tabla1[[#This Row],[Total de 
Descuentos]]</f>
        <v>51705.919999999998</v>
      </c>
      <c r="N42" s="119" t="s">
        <v>18</v>
      </c>
      <c r="O42" s="124" t="s">
        <v>35</v>
      </c>
    </row>
    <row r="43" spans="1:15" s="121" customFormat="1" ht="35.1" customHeight="1">
      <c r="A43" s="158" t="s">
        <v>106</v>
      </c>
      <c r="B43" s="122" t="s">
        <v>85</v>
      </c>
      <c r="C43" s="122" t="s">
        <v>61</v>
      </c>
      <c r="D43" s="122" t="s">
        <v>86</v>
      </c>
      <c r="E43" s="44">
        <v>44819</v>
      </c>
      <c r="F43" s="44">
        <v>45000</v>
      </c>
      <c r="G43" s="123">
        <v>75000</v>
      </c>
      <c r="H43" s="123">
        <v>6309.38</v>
      </c>
      <c r="I43" s="123">
        <v>2152.5</v>
      </c>
      <c r="J43" s="123">
        <v>2280</v>
      </c>
      <c r="K43" s="123">
        <v>2025</v>
      </c>
      <c r="L43" s="123">
        <f>+Tabla1[[#This Row],[ISR
(Ley 11-92)
(1*)]]+Tabla1[[#This Row],[Seguro 
de Pensión 
(2.87%)  
(2*)]]+Tabla1[[#This Row],[Seguro 
de Salud 
(3.04%)
 (3*)]]+Tabla1[[#This Row],[Otros
 Descuentos]]</f>
        <v>12766.880000000001</v>
      </c>
      <c r="M43" s="123">
        <f>+Tabla1[[#This Row],[Sueldo Bruto
(RD$)]]-Tabla1[[#This Row],[Total de 
Descuentos]]</f>
        <v>62233.119999999995</v>
      </c>
      <c r="N43" s="119" t="s">
        <v>18</v>
      </c>
      <c r="O43" s="124" t="s">
        <v>19</v>
      </c>
    </row>
    <row r="44" spans="1:15" s="121" customFormat="1" ht="35.1" customHeight="1">
      <c r="A44" s="158" t="s">
        <v>109</v>
      </c>
      <c r="B44" s="122" t="s">
        <v>88</v>
      </c>
      <c r="C44" s="122" t="s">
        <v>61</v>
      </c>
      <c r="D44" s="122" t="s">
        <v>89</v>
      </c>
      <c r="E44" s="44">
        <v>44877</v>
      </c>
      <c r="F44" s="44">
        <v>45058</v>
      </c>
      <c r="G44" s="123">
        <v>65000</v>
      </c>
      <c r="H44" s="122">
        <v>4427.58</v>
      </c>
      <c r="I44" s="123">
        <v>1865.5</v>
      </c>
      <c r="J44" s="123">
        <v>1976</v>
      </c>
      <c r="K44" s="122">
        <v>599.84</v>
      </c>
      <c r="L44" s="123">
        <f>+Tabla1[[#This Row],[ISR
(Ley 11-92)
(1*)]]+Tabla1[[#This Row],[Seguro 
de Pensión 
(2.87%)  
(2*)]]+Tabla1[[#This Row],[Seguro 
de Salud 
(3.04%)
 (3*)]]+Tabla1[[#This Row],[Otros
 Descuentos]]</f>
        <v>8868.92</v>
      </c>
      <c r="M44" s="123">
        <f>+Tabla1[[#This Row],[Sueldo Bruto
(RD$)]]-Tabla1[[#This Row],[Total de 
Descuentos]]</f>
        <v>56131.08</v>
      </c>
      <c r="N44" s="119" t="s">
        <v>18</v>
      </c>
      <c r="O44" s="124" t="s">
        <v>35</v>
      </c>
    </row>
    <row r="45" spans="1:15" s="121" customFormat="1" ht="35.1" customHeight="1">
      <c r="A45" s="158" t="s">
        <v>112</v>
      </c>
      <c r="B45" s="122" t="s">
        <v>568</v>
      </c>
      <c r="C45" s="122" t="s">
        <v>61</v>
      </c>
      <c r="D45" s="122" t="s">
        <v>91</v>
      </c>
      <c r="E45" s="44">
        <v>44713</v>
      </c>
      <c r="F45" s="44">
        <v>44896</v>
      </c>
      <c r="G45" s="123">
        <v>70000</v>
      </c>
      <c r="H45" s="123">
        <v>5368.48</v>
      </c>
      <c r="I45" s="123">
        <v>2009</v>
      </c>
      <c r="J45" s="123">
        <v>2128</v>
      </c>
      <c r="K45" s="122">
        <v>25</v>
      </c>
      <c r="L45" s="123">
        <f>+Tabla1[[#This Row],[ISR
(Ley 11-92)
(1*)]]+Tabla1[[#This Row],[Seguro 
de Pensión 
(2.87%)  
(2*)]]+Tabla1[[#This Row],[Seguro 
de Salud 
(3.04%)
 (3*)]]+Tabla1[[#This Row],[Otros
 Descuentos]]</f>
        <v>9530.48</v>
      </c>
      <c r="M45" s="123">
        <f>+Tabla1[[#This Row],[Sueldo Bruto
(RD$)]]-Tabla1[[#This Row],[Total de 
Descuentos]]</f>
        <v>60469.520000000004</v>
      </c>
      <c r="N45" s="119" t="s">
        <v>18</v>
      </c>
      <c r="O45" s="124" t="s">
        <v>35</v>
      </c>
    </row>
    <row r="46" spans="1:15" s="121" customFormat="1" ht="35.1" customHeight="1">
      <c r="A46" s="158" t="s">
        <v>115</v>
      </c>
      <c r="B46" s="122" t="s">
        <v>93</v>
      </c>
      <c r="C46" s="122" t="s">
        <v>61</v>
      </c>
      <c r="D46" s="122" t="s">
        <v>94</v>
      </c>
      <c r="E46" s="44">
        <v>44805</v>
      </c>
      <c r="F46" s="44">
        <v>44986</v>
      </c>
      <c r="G46" s="123">
        <v>80000</v>
      </c>
      <c r="H46" s="123">
        <v>7400.87</v>
      </c>
      <c r="I46" s="123">
        <v>2296</v>
      </c>
      <c r="J46" s="123">
        <v>2432</v>
      </c>
      <c r="K46" s="122">
        <v>25</v>
      </c>
      <c r="L46" s="123">
        <v>12153.87</v>
      </c>
      <c r="M46" s="123">
        <v>67846.13</v>
      </c>
      <c r="N46" s="119" t="s">
        <v>18</v>
      </c>
      <c r="O46" s="124" t="s">
        <v>35</v>
      </c>
    </row>
    <row r="47" spans="1:15" s="121" customFormat="1" ht="35.1" customHeight="1">
      <c r="A47" s="158" t="s">
        <v>118</v>
      </c>
      <c r="B47" s="122" t="s">
        <v>100</v>
      </c>
      <c r="C47" s="122" t="s">
        <v>61</v>
      </c>
      <c r="D47" s="122" t="s">
        <v>101</v>
      </c>
      <c r="E47" s="44">
        <v>44796</v>
      </c>
      <c r="F47" s="44">
        <v>44980</v>
      </c>
      <c r="G47" s="123">
        <v>42000</v>
      </c>
      <c r="H47" s="122">
        <v>0</v>
      </c>
      <c r="I47" s="123">
        <v>1205.4000000000001</v>
      </c>
      <c r="J47" s="123">
        <v>1276.8</v>
      </c>
      <c r="K47" s="122">
        <v>25</v>
      </c>
      <c r="L47" s="123">
        <v>2507.1999999999998</v>
      </c>
      <c r="M47" s="123">
        <v>39492.800000000003</v>
      </c>
      <c r="N47" s="119" t="s">
        <v>18</v>
      </c>
      <c r="O47" s="124" t="s">
        <v>35</v>
      </c>
    </row>
    <row r="48" spans="1:15" s="121" customFormat="1" ht="35.1" customHeight="1">
      <c r="A48" s="158" t="s">
        <v>122</v>
      </c>
      <c r="B48" s="122" t="s">
        <v>590</v>
      </c>
      <c r="C48" s="122" t="s">
        <v>61</v>
      </c>
      <c r="D48" s="122" t="s">
        <v>101</v>
      </c>
      <c r="E48" s="44">
        <v>44788</v>
      </c>
      <c r="F48" s="44">
        <v>44972</v>
      </c>
      <c r="G48" s="123">
        <v>42000</v>
      </c>
      <c r="H48" s="123">
        <v>724.92</v>
      </c>
      <c r="I48" s="123">
        <v>1205.4000000000001</v>
      </c>
      <c r="J48" s="123">
        <v>1276.8</v>
      </c>
      <c r="K48" s="122">
        <v>25</v>
      </c>
      <c r="L48" s="123">
        <v>3232.12</v>
      </c>
      <c r="M48" s="123">
        <v>38767.879999999997</v>
      </c>
      <c r="N48" s="119" t="s">
        <v>18</v>
      </c>
      <c r="O48" s="124" t="s">
        <v>35</v>
      </c>
    </row>
    <row r="49" spans="1:15" s="121" customFormat="1" ht="35.1" customHeight="1">
      <c r="A49" s="158" t="s">
        <v>124</v>
      </c>
      <c r="B49" s="122" t="s">
        <v>103</v>
      </c>
      <c r="C49" s="122" t="s">
        <v>104</v>
      </c>
      <c r="D49" s="122" t="s">
        <v>105</v>
      </c>
      <c r="E49" s="44">
        <v>44818</v>
      </c>
      <c r="F49" s="44">
        <v>44999</v>
      </c>
      <c r="G49" s="123">
        <v>135000</v>
      </c>
      <c r="H49" s="123">
        <v>19582.02</v>
      </c>
      <c r="I49" s="123">
        <v>3874.5</v>
      </c>
      <c r="J49" s="123">
        <v>4104</v>
      </c>
      <c r="K49" s="123">
        <v>4549.8999999999996</v>
      </c>
      <c r="L49" s="123">
        <f>+Tabla1[[#This Row],[ISR
(Ley 11-92)
(1*)]]+Tabla1[[#This Row],[Seguro 
de Pensión 
(2.87%)  
(2*)]]+Tabla1[[#This Row],[Seguro 
de Salud 
(3.04%)
 (3*)]]+Tabla1[[#This Row],[Otros
 Descuentos]]</f>
        <v>32110.42</v>
      </c>
      <c r="M49" s="123">
        <f>+Tabla1[[#This Row],[Sueldo Bruto
(RD$)]]-Tabla1[[#This Row],[Total de 
Descuentos]]</f>
        <v>102889.58</v>
      </c>
      <c r="N49" s="119" t="s">
        <v>18</v>
      </c>
      <c r="O49" s="124" t="s">
        <v>19</v>
      </c>
    </row>
    <row r="50" spans="1:15" s="121" customFormat="1" ht="35.1" customHeight="1">
      <c r="A50" s="158" t="s">
        <v>125</v>
      </c>
      <c r="B50" s="122" t="s">
        <v>107</v>
      </c>
      <c r="C50" s="122" t="s">
        <v>104</v>
      </c>
      <c r="D50" s="122" t="s">
        <v>108</v>
      </c>
      <c r="E50" s="44">
        <v>44820</v>
      </c>
      <c r="F50" s="44">
        <v>45001</v>
      </c>
      <c r="G50" s="123">
        <v>100000</v>
      </c>
      <c r="H50" s="123">
        <v>12105.37</v>
      </c>
      <c r="I50" s="123">
        <v>2870</v>
      </c>
      <c r="J50" s="123">
        <v>3040</v>
      </c>
      <c r="K50" s="123">
        <v>9038.69</v>
      </c>
      <c r="L50" s="123">
        <f>+Tabla1[[#This Row],[ISR
(Ley 11-92)
(1*)]]+Tabla1[[#This Row],[Seguro 
de Pensión 
(2.87%)  
(2*)]]+Tabla1[[#This Row],[Seguro 
de Salud 
(3.04%)
 (3*)]]+Tabla1[[#This Row],[Otros
 Descuentos]]</f>
        <v>27054.060000000005</v>
      </c>
      <c r="M50" s="123">
        <f>+Tabla1[[#This Row],[Sueldo Bruto
(RD$)]]-Tabla1[[#This Row],[Total de 
Descuentos]]</f>
        <v>72945.94</v>
      </c>
      <c r="N50" s="119" t="s">
        <v>18</v>
      </c>
      <c r="O50" s="124" t="s">
        <v>19</v>
      </c>
    </row>
    <row r="51" spans="1:15" s="121" customFormat="1" ht="35.1" customHeight="1">
      <c r="A51" s="158" t="s">
        <v>127</v>
      </c>
      <c r="B51" s="122" t="s">
        <v>110</v>
      </c>
      <c r="C51" s="122" t="s">
        <v>104</v>
      </c>
      <c r="D51" s="122" t="s">
        <v>111</v>
      </c>
      <c r="E51" s="44">
        <v>44805</v>
      </c>
      <c r="F51" s="44">
        <v>44986</v>
      </c>
      <c r="G51" s="123">
        <v>80000</v>
      </c>
      <c r="H51" s="123">
        <v>7022.76</v>
      </c>
      <c r="I51" s="123">
        <v>2296</v>
      </c>
      <c r="J51" s="123">
        <v>2432</v>
      </c>
      <c r="K51" s="123">
        <v>18873.5</v>
      </c>
      <c r="L51" s="123">
        <f>+Tabla1[[#This Row],[ISR
(Ley 11-92)
(1*)]]+Tabla1[[#This Row],[Seguro 
de Pensión 
(2.87%)  
(2*)]]+Tabla1[[#This Row],[Seguro 
de Salud 
(3.04%)
 (3*)]]+Tabla1[[#This Row],[Otros
 Descuentos]]</f>
        <v>30624.260000000002</v>
      </c>
      <c r="M51" s="123">
        <f>+Tabla1[[#This Row],[Sueldo Bruto
(RD$)]]-Tabla1[[#This Row],[Total de 
Descuentos]]</f>
        <v>49375.74</v>
      </c>
      <c r="N51" s="119" t="s">
        <v>18</v>
      </c>
      <c r="O51" s="124" t="s">
        <v>19</v>
      </c>
    </row>
    <row r="52" spans="1:15" s="121" customFormat="1" ht="35.1" customHeight="1">
      <c r="A52" s="158" t="s">
        <v>129</v>
      </c>
      <c r="B52" s="122" t="s">
        <v>113</v>
      </c>
      <c r="C52" s="122" t="s">
        <v>104</v>
      </c>
      <c r="D52" s="122" t="s">
        <v>114</v>
      </c>
      <c r="E52" s="44">
        <v>44866</v>
      </c>
      <c r="F52" s="44">
        <v>45047</v>
      </c>
      <c r="G52" s="123">
        <v>65000</v>
      </c>
      <c r="H52" s="123">
        <v>4427.58</v>
      </c>
      <c r="I52" s="123">
        <v>1865.5</v>
      </c>
      <c r="J52" s="123">
        <v>1976</v>
      </c>
      <c r="K52" s="122">
        <v>4899.84</v>
      </c>
      <c r="L52" s="123">
        <v>13168.92</v>
      </c>
      <c r="M52" s="123">
        <v>51831.08</v>
      </c>
      <c r="N52" s="119" t="s">
        <v>18</v>
      </c>
      <c r="O52" s="124" t="s">
        <v>19</v>
      </c>
    </row>
    <row r="53" spans="1:15" s="121" customFormat="1" ht="35.1" customHeight="1">
      <c r="A53" s="158" t="s">
        <v>131</v>
      </c>
      <c r="B53" s="122" t="s">
        <v>116</v>
      </c>
      <c r="C53" s="122" t="s">
        <v>104</v>
      </c>
      <c r="D53" s="122" t="s">
        <v>117</v>
      </c>
      <c r="E53" s="44">
        <v>44713</v>
      </c>
      <c r="F53" s="44">
        <v>44896</v>
      </c>
      <c r="G53" s="123">
        <v>65000</v>
      </c>
      <c r="H53" s="123">
        <v>4427.58</v>
      </c>
      <c r="I53" s="123">
        <v>1865.5</v>
      </c>
      <c r="J53" s="123">
        <v>1976</v>
      </c>
      <c r="K53" s="123">
        <v>2125</v>
      </c>
      <c r="L53" s="123">
        <v>10394.08</v>
      </c>
      <c r="M53" s="123">
        <v>54605.919999999998</v>
      </c>
      <c r="N53" s="119" t="s">
        <v>18</v>
      </c>
      <c r="O53" s="124" t="s">
        <v>19</v>
      </c>
    </row>
    <row r="54" spans="1:15" s="121" customFormat="1" ht="35.1" customHeight="1">
      <c r="A54" s="158" t="s">
        <v>135</v>
      </c>
      <c r="B54" s="122" t="s">
        <v>119</v>
      </c>
      <c r="C54" s="122" t="s">
        <v>120</v>
      </c>
      <c r="D54" s="122" t="s">
        <v>121</v>
      </c>
      <c r="E54" s="44">
        <v>44811</v>
      </c>
      <c r="F54" s="44">
        <v>44992</v>
      </c>
      <c r="G54" s="123">
        <v>135000</v>
      </c>
      <c r="H54" s="123">
        <v>20338.240000000002</v>
      </c>
      <c r="I54" s="123">
        <v>3874.5</v>
      </c>
      <c r="J54" s="123">
        <v>4104</v>
      </c>
      <c r="K54" s="122">
        <v>25</v>
      </c>
      <c r="L54" s="123">
        <v>28341.74</v>
      </c>
      <c r="M54" s="123">
        <v>106658.26</v>
      </c>
      <c r="N54" s="119" t="s">
        <v>18</v>
      </c>
      <c r="O54" s="124" t="s">
        <v>35</v>
      </c>
    </row>
    <row r="55" spans="1:15" s="121" customFormat="1" ht="35.1" customHeight="1">
      <c r="A55" s="158" t="s">
        <v>138</v>
      </c>
      <c r="B55" s="122" t="s">
        <v>123</v>
      </c>
      <c r="C55" s="122" t="s">
        <v>120</v>
      </c>
      <c r="D55" s="122" t="s">
        <v>64</v>
      </c>
      <c r="E55" s="44">
        <v>44719</v>
      </c>
      <c r="F55" s="44">
        <v>44902</v>
      </c>
      <c r="G55" s="123">
        <v>125000</v>
      </c>
      <c r="H55" s="123">
        <v>17985.990000000002</v>
      </c>
      <c r="I55" s="123">
        <v>3587.5</v>
      </c>
      <c r="J55" s="123">
        <v>3800</v>
      </c>
      <c r="K55" s="123">
        <v>3868.04</v>
      </c>
      <c r="L55" s="123">
        <v>29241.53</v>
      </c>
      <c r="M55" s="123">
        <v>95758.47</v>
      </c>
      <c r="N55" s="119" t="s">
        <v>18</v>
      </c>
      <c r="O55" s="124" t="s">
        <v>19</v>
      </c>
    </row>
    <row r="56" spans="1:15" s="121" customFormat="1" ht="35.1" customHeight="1">
      <c r="A56" s="158" t="s">
        <v>141</v>
      </c>
      <c r="B56" s="122" t="s">
        <v>126</v>
      </c>
      <c r="C56" s="122" t="s">
        <v>120</v>
      </c>
      <c r="D56" s="122" t="s">
        <v>43</v>
      </c>
      <c r="E56" s="43">
        <v>44835</v>
      </c>
      <c r="F56" s="43">
        <v>45017</v>
      </c>
      <c r="G56" s="123">
        <v>65000</v>
      </c>
      <c r="H56" s="125">
        <v>4427.58</v>
      </c>
      <c r="I56" s="123">
        <v>1865.5</v>
      </c>
      <c r="J56" s="123">
        <v>1976</v>
      </c>
      <c r="K56" s="123">
        <v>6529.12</v>
      </c>
      <c r="L56" s="123">
        <f>+Tabla1[[#This Row],[ISR
(Ley 11-92)
(1*)]]+Tabla1[[#This Row],[Seguro 
de Pensión 
(2.87%)  
(2*)]]+Tabla1[[#This Row],[Otros
 Descuentos]]+Tabla1[[#This Row],[Seguro 
de Salud 
(3.04%)
 (3*)]]</f>
        <v>14798.2</v>
      </c>
      <c r="M56" s="123">
        <f>+Tabla1[[#This Row],[Sueldo Bruto
(RD$)]]-Tabla1[[#This Row],[Total de 
Descuentos]]</f>
        <v>50201.8</v>
      </c>
      <c r="N56" s="119" t="s">
        <v>18</v>
      </c>
      <c r="O56" s="124" t="s">
        <v>35</v>
      </c>
    </row>
    <row r="57" spans="1:15" s="121" customFormat="1" ht="35.1" customHeight="1">
      <c r="A57" s="158" t="s">
        <v>145</v>
      </c>
      <c r="B57" s="122" t="s">
        <v>128</v>
      </c>
      <c r="C57" s="122" t="s">
        <v>120</v>
      </c>
      <c r="D57" s="122" t="s">
        <v>91</v>
      </c>
      <c r="E57" s="44">
        <v>44881</v>
      </c>
      <c r="F57" s="44">
        <v>45062</v>
      </c>
      <c r="G57" s="123">
        <v>65000</v>
      </c>
      <c r="H57" s="125">
        <v>4427.58</v>
      </c>
      <c r="I57" s="123">
        <v>1865.5</v>
      </c>
      <c r="J57" s="123">
        <v>1976</v>
      </c>
      <c r="K57" s="122">
        <v>125</v>
      </c>
      <c r="L57" s="123">
        <f>+Tabla1[[#This Row],[ISR
(Ley 11-92)
(1*)]]+Tabla1[[#This Row],[Seguro 
de Pensión 
(2.87%)  
(2*)]]+Tabla1[[#This Row],[Otros
 Descuentos]]+Tabla1[[#This Row],[Seguro 
de Salud 
(3.04%)
 (3*)]]</f>
        <v>8394.08</v>
      </c>
      <c r="M57" s="123">
        <f>+Tabla1[[#This Row],[Sueldo Bruto
(RD$)]]-Tabla1[[#This Row],[Total de 
Descuentos]]</f>
        <v>56605.919999999998</v>
      </c>
      <c r="N57" s="119" t="s">
        <v>18</v>
      </c>
      <c r="O57" s="124" t="s">
        <v>19</v>
      </c>
    </row>
    <row r="58" spans="1:15" s="121" customFormat="1" ht="35.1" customHeight="1">
      <c r="A58" s="158" t="s">
        <v>149</v>
      </c>
      <c r="B58" s="122" t="s">
        <v>130</v>
      </c>
      <c r="C58" s="122" t="s">
        <v>120</v>
      </c>
      <c r="D58" s="122" t="s">
        <v>91</v>
      </c>
      <c r="E58" s="44">
        <v>44713</v>
      </c>
      <c r="F58" s="44">
        <v>44896</v>
      </c>
      <c r="G58" s="123">
        <v>65000</v>
      </c>
      <c r="H58" s="123">
        <v>4427.58</v>
      </c>
      <c r="I58" s="123">
        <v>1865.5</v>
      </c>
      <c r="J58" s="123">
        <v>1976</v>
      </c>
      <c r="K58" s="122">
        <v>25</v>
      </c>
      <c r="L58" s="123">
        <v>8294.08</v>
      </c>
      <c r="M58" s="123">
        <v>56705.919999999998</v>
      </c>
      <c r="N58" s="119" t="s">
        <v>18</v>
      </c>
      <c r="O58" s="124" t="s">
        <v>35</v>
      </c>
    </row>
    <row r="59" spans="1:15" s="121" customFormat="1" ht="35.1" customHeight="1">
      <c r="A59" s="158" t="s">
        <v>152</v>
      </c>
      <c r="B59" s="122" t="s">
        <v>132</v>
      </c>
      <c r="C59" s="122" t="s">
        <v>133</v>
      </c>
      <c r="D59" s="122" t="s">
        <v>134</v>
      </c>
      <c r="E59" s="44">
        <v>44761</v>
      </c>
      <c r="F59" s="44">
        <v>44945</v>
      </c>
      <c r="G59" s="123">
        <v>150000</v>
      </c>
      <c r="H59" s="123">
        <v>23866.62</v>
      </c>
      <c r="I59" s="123">
        <v>4305</v>
      </c>
      <c r="J59" s="123">
        <v>4560</v>
      </c>
      <c r="K59" s="122">
        <v>25</v>
      </c>
      <c r="L59" s="123">
        <v>32756.62</v>
      </c>
      <c r="M59" s="123">
        <v>117243.38</v>
      </c>
      <c r="N59" s="119" t="s">
        <v>18</v>
      </c>
      <c r="O59" s="124" t="s">
        <v>19</v>
      </c>
    </row>
    <row r="60" spans="1:15" s="121" customFormat="1" ht="35.1" customHeight="1">
      <c r="A60" s="158" t="s">
        <v>156</v>
      </c>
      <c r="B60" s="122" t="s">
        <v>136</v>
      </c>
      <c r="C60" s="122" t="s">
        <v>133</v>
      </c>
      <c r="D60" s="122" t="s">
        <v>137</v>
      </c>
      <c r="E60" s="44">
        <v>44860</v>
      </c>
      <c r="F60" s="44">
        <v>45042</v>
      </c>
      <c r="G60" s="123">
        <v>80000</v>
      </c>
      <c r="H60" s="123">
        <v>7400.87</v>
      </c>
      <c r="I60" s="123">
        <v>2296</v>
      </c>
      <c r="J60" s="123">
        <v>2432</v>
      </c>
      <c r="K60" s="122">
        <v>25</v>
      </c>
      <c r="L60" s="123">
        <f>+Tabla1[[#This Row],[ISR
(Ley 11-92)
(1*)]]+Tabla1[[#This Row],[Seguro 
de Pensión 
(2.87%)  
(2*)]]+Tabla1[[#This Row],[Seguro 
de Salud 
(3.04%)
 (3*)]]+Tabla1[[#This Row],[Otros
 Descuentos]]</f>
        <v>12153.869999999999</v>
      </c>
      <c r="M60" s="123">
        <f>+Tabla1[[#This Row],[Sueldo Bruto
(RD$)]]-Tabla1[[#This Row],[Total de 
Descuentos]]</f>
        <v>67846.13</v>
      </c>
      <c r="N60" s="119" t="s">
        <v>18</v>
      </c>
      <c r="O60" s="124" t="s">
        <v>19</v>
      </c>
    </row>
    <row r="61" spans="1:15" s="121" customFormat="1" ht="35.1" customHeight="1">
      <c r="A61" s="158" t="s">
        <v>158</v>
      </c>
      <c r="B61" s="122" t="s">
        <v>139</v>
      </c>
      <c r="C61" s="122" t="s">
        <v>133</v>
      </c>
      <c r="D61" s="122" t="s">
        <v>140</v>
      </c>
      <c r="E61" s="44">
        <v>44713</v>
      </c>
      <c r="F61" s="44">
        <v>44896</v>
      </c>
      <c r="G61" s="123">
        <v>65000</v>
      </c>
      <c r="H61" s="123">
        <v>4125.09</v>
      </c>
      <c r="I61" s="123">
        <v>1865.5</v>
      </c>
      <c r="J61" s="123">
        <v>1976</v>
      </c>
      <c r="K61" s="123">
        <v>1637.45</v>
      </c>
      <c r="L61" s="123">
        <f>+Tabla1[[#This Row],[ISR
(Ley 11-92)
(1*)]]+Tabla1[[#This Row],[Seguro 
de Pensión 
(2.87%)  
(2*)]]+Tabla1[[#This Row],[Seguro 
de Salud 
(3.04%)
 (3*)]]+Tabla1[[#This Row],[Otros
 Descuentos]]</f>
        <v>9604.0400000000009</v>
      </c>
      <c r="M61" s="123">
        <f>+Tabla1[[#This Row],[Sueldo Bruto
(RD$)]]-Tabla1[[#This Row],[Total de 
Descuentos]]</f>
        <v>55395.96</v>
      </c>
      <c r="N61" s="119" t="s">
        <v>18</v>
      </c>
      <c r="O61" s="124" t="s">
        <v>35</v>
      </c>
    </row>
    <row r="62" spans="1:15" s="121" customFormat="1" ht="35.1" customHeight="1">
      <c r="A62" s="158" t="s">
        <v>161</v>
      </c>
      <c r="B62" s="122" t="s">
        <v>142</v>
      </c>
      <c r="C62" s="122" t="s">
        <v>143</v>
      </c>
      <c r="D62" s="122" t="s">
        <v>144</v>
      </c>
      <c r="E62" s="44">
        <v>44818</v>
      </c>
      <c r="F62" s="44">
        <v>44999</v>
      </c>
      <c r="G62" s="123">
        <v>95000</v>
      </c>
      <c r="H62" s="123">
        <v>10173.02</v>
      </c>
      <c r="I62" s="123">
        <v>2726.5</v>
      </c>
      <c r="J62" s="123">
        <v>2888</v>
      </c>
      <c r="K62" s="123">
        <v>6119.15</v>
      </c>
      <c r="L62" s="123">
        <f>+Tabla1[[#This Row],[ISR
(Ley 11-92)
(1*)]]+Tabla1[[#This Row],[Seguro 
de Pensión 
(2.87%)  
(2*)]]+Tabla1[[#This Row],[Seguro 
de Salud 
(3.04%)
 (3*)]]+Tabla1[[#This Row],[Otros
 Descuentos]]</f>
        <v>21906.67</v>
      </c>
      <c r="M62" s="123">
        <f>+Tabla1[[#This Row],[Sueldo Bruto
(RD$)]]-Tabla1[[#This Row],[Total de 
Descuentos]]</f>
        <v>73093.33</v>
      </c>
      <c r="N62" s="119" t="s">
        <v>18</v>
      </c>
      <c r="O62" s="124" t="s">
        <v>35</v>
      </c>
    </row>
    <row r="63" spans="1:15" s="121" customFormat="1" ht="35.1" customHeight="1">
      <c r="A63" s="158" t="s">
        <v>163</v>
      </c>
      <c r="B63" s="142" t="s">
        <v>602</v>
      </c>
      <c r="C63" s="142" t="s">
        <v>419</v>
      </c>
      <c r="D63" s="142" t="s">
        <v>603</v>
      </c>
      <c r="E63" s="146">
        <v>44835</v>
      </c>
      <c r="F63" s="146">
        <v>45017</v>
      </c>
      <c r="G63" s="144">
        <v>42000</v>
      </c>
      <c r="H63" s="144">
        <v>724.92</v>
      </c>
      <c r="I63" s="144">
        <v>1205.4000000000001</v>
      </c>
      <c r="J63" s="144">
        <v>1276.8</v>
      </c>
      <c r="K63" s="144">
        <v>25</v>
      </c>
      <c r="L63" s="144">
        <f>+Tabla1[[#This Row],[ISR
(Ley 11-92)
(1*)]]+Tabla1[[#This Row],[Seguro 
de Pensión 
(2.87%)  
(2*)]]+Tabla1[[#This Row],[Seguro 
de Salud 
(3.04%)
 (3*)]]+Tabla1[[#This Row],[Otros
 Descuentos]]</f>
        <v>3232.12</v>
      </c>
      <c r="M63" s="144">
        <f>+Tabla1[[#This Row],[Sueldo Bruto
(RD$)]]-Tabla1[[#This Row],[Total de 
Descuentos]]</f>
        <v>38767.879999999997</v>
      </c>
      <c r="N63" s="119" t="s">
        <v>18</v>
      </c>
      <c r="O63" s="124" t="s">
        <v>35</v>
      </c>
    </row>
    <row r="64" spans="1:15" s="121" customFormat="1" ht="35.1" customHeight="1">
      <c r="A64" s="158" t="s">
        <v>166</v>
      </c>
      <c r="B64" s="122" t="s">
        <v>146</v>
      </c>
      <c r="C64" s="122" t="s">
        <v>147</v>
      </c>
      <c r="D64" s="122" t="s">
        <v>148</v>
      </c>
      <c r="E64" s="43">
        <v>44772</v>
      </c>
      <c r="F64" s="43">
        <v>44956</v>
      </c>
      <c r="G64" s="123">
        <v>65000</v>
      </c>
      <c r="H64" s="125">
        <v>4427.58</v>
      </c>
      <c r="I64" s="123">
        <v>1865.5</v>
      </c>
      <c r="J64" s="123">
        <v>1976</v>
      </c>
      <c r="K64" s="122">
        <v>25</v>
      </c>
      <c r="L64" s="123">
        <f>+Tabla1[[#This Row],[ISR
(Ley 11-92)
(1*)]]+Tabla1[[#This Row],[Seguro 
de Pensión 
(2.87%)  
(2*)]]+Tabla1[[#This Row],[Seguro 
de Salud 
(3.04%)
 (3*)]]+Tabla1[[#This Row],[Otros
 Descuentos]]</f>
        <v>8294.08</v>
      </c>
      <c r="M64" s="123">
        <f>+Tabla1[[#This Row],[Sueldo Bruto
(RD$)]]-Tabla1[[#This Row],[Total de 
Descuentos]]</f>
        <v>56705.919999999998</v>
      </c>
      <c r="N64" s="119" t="s">
        <v>18</v>
      </c>
      <c r="O64" s="124" t="s">
        <v>35</v>
      </c>
    </row>
    <row r="65" spans="1:15" s="121" customFormat="1" ht="35.1" customHeight="1">
      <c r="A65" s="158" t="s">
        <v>168</v>
      </c>
      <c r="B65" s="122" t="s">
        <v>150</v>
      </c>
      <c r="C65" s="122" t="s">
        <v>147</v>
      </c>
      <c r="D65" s="122" t="s">
        <v>151</v>
      </c>
      <c r="E65" s="44">
        <v>44824</v>
      </c>
      <c r="F65" s="44">
        <v>45005</v>
      </c>
      <c r="G65" s="123">
        <v>65000</v>
      </c>
      <c r="H65" s="122">
        <v>4427.58</v>
      </c>
      <c r="I65" s="123">
        <v>1865.5</v>
      </c>
      <c r="J65" s="123">
        <v>1976</v>
      </c>
      <c r="K65" s="123">
        <v>3094.25</v>
      </c>
      <c r="L65" s="123">
        <v>11363.33</v>
      </c>
      <c r="M65" s="123">
        <v>53636.67</v>
      </c>
      <c r="N65" s="119" t="s">
        <v>18</v>
      </c>
      <c r="O65" s="124" t="s">
        <v>35</v>
      </c>
    </row>
    <row r="66" spans="1:15" s="121" customFormat="1" ht="35.1" customHeight="1">
      <c r="A66" s="158" t="s">
        <v>171</v>
      </c>
      <c r="B66" s="122" t="s">
        <v>153</v>
      </c>
      <c r="C66" s="122" t="s">
        <v>154</v>
      </c>
      <c r="D66" s="122" t="s">
        <v>155</v>
      </c>
      <c r="E66" s="44">
        <v>44866</v>
      </c>
      <c r="F66" s="44">
        <v>45047</v>
      </c>
      <c r="G66" s="123">
        <v>65000</v>
      </c>
      <c r="H66" s="123">
        <v>4427.58</v>
      </c>
      <c r="I66" s="123">
        <v>1865.5</v>
      </c>
      <c r="J66" s="123">
        <v>1976</v>
      </c>
      <c r="K66" s="122">
        <v>25</v>
      </c>
      <c r="L66" s="123">
        <v>8294.08</v>
      </c>
      <c r="M66" s="123">
        <v>56705.919999999998</v>
      </c>
      <c r="N66" s="119" t="s">
        <v>18</v>
      </c>
      <c r="O66" s="124" t="s">
        <v>19</v>
      </c>
    </row>
    <row r="67" spans="1:15" s="121" customFormat="1" ht="35.1" customHeight="1">
      <c r="A67" s="158" t="s">
        <v>174</v>
      </c>
      <c r="B67" s="122" t="s">
        <v>157</v>
      </c>
      <c r="C67" s="122" t="s">
        <v>154</v>
      </c>
      <c r="D67" s="122" t="s">
        <v>38</v>
      </c>
      <c r="E67" s="44">
        <v>44866</v>
      </c>
      <c r="F67" s="44">
        <v>45047</v>
      </c>
      <c r="G67" s="123">
        <v>65000</v>
      </c>
      <c r="H67" s="125">
        <v>4427.58</v>
      </c>
      <c r="I67" s="123">
        <v>1865.5</v>
      </c>
      <c r="J67" s="123">
        <v>1976</v>
      </c>
      <c r="K67" s="122">
        <v>1019.84</v>
      </c>
      <c r="L67" s="123">
        <v>9288.92</v>
      </c>
      <c r="M67" s="123">
        <v>55711.08</v>
      </c>
      <c r="N67" s="119" t="s">
        <v>18</v>
      </c>
      <c r="O67" s="124" t="s">
        <v>19</v>
      </c>
    </row>
    <row r="68" spans="1:15" s="121" customFormat="1" ht="35.1" customHeight="1">
      <c r="A68" s="158" t="s">
        <v>177</v>
      </c>
      <c r="B68" s="122" t="s">
        <v>159</v>
      </c>
      <c r="C68" s="122" t="s">
        <v>154</v>
      </c>
      <c r="D68" s="122" t="s">
        <v>160</v>
      </c>
      <c r="E68" s="44">
        <v>44835</v>
      </c>
      <c r="F68" s="44">
        <v>45017</v>
      </c>
      <c r="G68" s="123">
        <v>65000</v>
      </c>
      <c r="H68" s="125">
        <v>4427.58</v>
      </c>
      <c r="I68" s="123">
        <v>1865.5</v>
      </c>
      <c r="J68" s="123">
        <v>1976</v>
      </c>
      <c r="K68" s="122">
        <v>25</v>
      </c>
      <c r="L68" s="123">
        <v>8294.08</v>
      </c>
      <c r="M68" s="123">
        <v>56705.919999999998</v>
      </c>
      <c r="N68" s="119" t="s">
        <v>18</v>
      </c>
      <c r="O68" s="124" t="s">
        <v>19</v>
      </c>
    </row>
    <row r="69" spans="1:15" s="121" customFormat="1" ht="35.1" customHeight="1">
      <c r="A69" s="158" t="s">
        <v>179</v>
      </c>
      <c r="B69" s="122" t="s">
        <v>162</v>
      </c>
      <c r="C69" s="122" t="s">
        <v>154</v>
      </c>
      <c r="D69" s="122" t="s">
        <v>155</v>
      </c>
      <c r="E69" s="44">
        <v>44880</v>
      </c>
      <c r="F69" s="44">
        <v>45061</v>
      </c>
      <c r="G69" s="123">
        <v>65000</v>
      </c>
      <c r="H69" s="123">
        <v>4427.58</v>
      </c>
      <c r="I69" s="123">
        <v>1865.5</v>
      </c>
      <c r="J69" s="123">
        <v>1976</v>
      </c>
      <c r="K69" s="122">
        <v>25</v>
      </c>
      <c r="L69" s="123">
        <v>8294.08</v>
      </c>
      <c r="M69" s="123">
        <v>56705.919999999998</v>
      </c>
      <c r="N69" s="119" t="s">
        <v>18</v>
      </c>
      <c r="O69" s="124" t="s">
        <v>19</v>
      </c>
    </row>
    <row r="70" spans="1:15" s="121" customFormat="1" ht="35.1" customHeight="1">
      <c r="A70" s="158" t="s">
        <v>181</v>
      </c>
      <c r="B70" s="122" t="s">
        <v>164</v>
      </c>
      <c r="C70" s="122" t="s">
        <v>154</v>
      </c>
      <c r="D70" s="122" t="s">
        <v>165</v>
      </c>
      <c r="E70" s="44">
        <v>44747</v>
      </c>
      <c r="F70" s="43">
        <v>44931</v>
      </c>
      <c r="G70" s="123">
        <v>42000</v>
      </c>
      <c r="H70" s="122">
        <v>0</v>
      </c>
      <c r="I70" s="123">
        <v>1205.4000000000001</v>
      </c>
      <c r="J70" s="123">
        <v>1276.8</v>
      </c>
      <c r="K70" s="122">
        <v>25</v>
      </c>
      <c r="L70" s="123">
        <v>2507.1999999999998</v>
      </c>
      <c r="M70" s="123">
        <v>39492.800000000003</v>
      </c>
      <c r="N70" s="119" t="s">
        <v>18</v>
      </c>
      <c r="O70" s="124" t="s">
        <v>35</v>
      </c>
    </row>
    <row r="71" spans="1:15" s="121" customFormat="1" ht="35.1" customHeight="1">
      <c r="A71" s="158" t="s">
        <v>183</v>
      </c>
      <c r="B71" s="122" t="s">
        <v>167</v>
      </c>
      <c r="C71" s="122" t="s">
        <v>154</v>
      </c>
      <c r="D71" s="122" t="s">
        <v>165</v>
      </c>
      <c r="E71" s="43">
        <v>44835</v>
      </c>
      <c r="F71" s="43">
        <v>45017</v>
      </c>
      <c r="G71" s="123">
        <v>42000</v>
      </c>
      <c r="H71" s="122">
        <v>0</v>
      </c>
      <c r="I71" s="123">
        <v>1205.4000000000001</v>
      </c>
      <c r="J71" s="123">
        <v>1276.8</v>
      </c>
      <c r="K71" s="122">
        <v>445</v>
      </c>
      <c r="L71" s="123">
        <v>2927.2</v>
      </c>
      <c r="M71" s="123">
        <v>39072.800000000003</v>
      </c>
      <c r="N71" s="119" t="s">
        <v>18</v>
      </c>
      <c r="O71" s="124" t="s">
        <v>19</v>
      </c>
    </row>
    <row r="72" spans="1:15" s="121" customFormat="1" ht="35.1" customHeight="1">
      <c r="A72" s="158" t="s">
        <v>184</v>
      </c>
      <c r="B72" s="122" t="s">
        <v>169</v>
      </c>
      <c r="C72" s="122" t="s">
        <v>154</v>
      </c>
      <c r="D72" s="122" t="s">
        <v>170</v>
      </c>
      <c r="E72" s="43">
        <v>44757</v>
      </c>
      <c r="F72" s="43">
        <v>44941</v>
      </c>
      <c r="G72" s="123">
        <v>60000</v>
      </c>
      <c r="H72" s="125">
        <v>2881.7</v>
      </c>
      <c r="I72" s="123">
        <v>1722</v>
      </c>
      <c r="J72" s="123">
        <v>1824</v>
      </c>
      <c r="K72" s="123">
        <v>3049.9</v>
      </c>
      <c r="L72" s="123">
        <v>9477.6</v>
      </c>
      <c r="M72" s="123">
        <v>50522.400000000001</v>
      </c>
      <c r="N72" s="119" t="s">
        <v>18</v>
      </c>
      <c r="O72" s="124" t="s">
        <v>35</v>
      </c>
    </row>
    <row r="73" spans="1:15" s="121" customFormat="1" ht="35.1" customHeight="1">
      <c r="A73" s="158" t="s">
        <v>186</v>
      </c>
      <c r="B73" s="122" t="s">
        <v>441</v>
      </c>
      <c r="C73" s="122" t="s">
        <v>173</v>
      </c>
      <c r="D73" s="122" t="s">
        <v>64</v>
      </c>
      <c r="E73" s="43">
        <v>44713</v>
      </c>
      <c r="F73" s="43">
        <v>44896</v>
      </c>
      <c r="G73" s="123">
        <v>125000</v>
      </c>
      <c r="H73" s="123">
        <v>19953.95</v>
      </c>
      <c r="I73" s="127">
        <v>3587.5</v>
      </c>
      <c r="J73" s="123">
        <v>3800</v>
      </c>
      <c r="K73" s="123">
        <v>1537.45</v>
      </c>
      <c r="L73" s="123">
        <v>28878.9</v>
      </c>
      <c r="M73" s="123">
        <v>96121.1</v>
      </c>
      <c r="N73" s="126" t="s">
        <v>18</v>
      </c>
      <c r="O73" s="124" t="s">
        <v>19</v>
      </c>
    </row>
    <row r="74" spans="1:15" s="121" customFormat="1" ht="35.1" customHeight="1">
      <c r="A74" s="158" t="s">
        <v>189</v>
      </c>
      <c r="B74" s="122" t="s">
        <v>172</v>
      </c>
      <c r="C74" s="122" t="s">
        <v>173</v>
      </c>
      <c r="D74" s="122" t="s">
        <v>17</v>
      </c>
      <c r="E74" s="43">
        <v>44866</v>
      </c>
      <c r="F74" s="43">
        <v>45047</v>
      </c>
      <c r="G74" s="123">
        <v>100000</v>
      </c>
      <c r="H74" s="123">
        <v>12105.37</v>
      </c>
      <c r="I74" s="123">
        <v>2870</v>
      </c>
      <c r="J74" s="123">
        <v>3040</v>
      </c>
      <c r="K74" s="123">
        <v>1025</v>
      </c>
      <c r="L74" s="123">
        <f>+Tabla1[[#This Row],[ISR
(Ley 11-92)
(1*)]]+Tabla1[[#This Row],[Seguro 
de Pensión 
(2.87%)  
(2*)]]+Tabla1[[#This Row],[Seguro 
de Salud 
(3.04%)
 (3*)]]+Tabla1[[#This Row],[Otros
 Descuentos]]</f>
        <v>19040.370000000003</v>
      </c>
      <c r="M74" s="123">
        <f>+Tabla1[[#This Row],[Sueldo Bruto
(RD$)]]-Tabla1[[#This Row],[Total de 
Descuentos]]</f>
        <v>80959.63</v>
      </c>
      <c r="N74" s="119" t="s">
        <v>18</v>
      </c>
      <c r="O74" s="124" t="s">
        <v>19</v>
      </c>
    </row>
    <row r="75" spans="1:15" s="121" customFormat="1" ht="35.1" customHeight="1">
      <c r="A75" s="158" t="s">
        <v>191</v>
      </c>
      <c r="B75" s="122" t="s">
        <v>175</v>
      </c>
      <c r="C75" s="122" t="s">
        <v>173</v>
      </c>
      <c r="D75" s="122" t="s">
        <v>176</v>
      </c>
      <c r="E75" s="44">
        <v>44866</v>
      </c>
      <c r="F75" s="43">
        <v>45047</v>
      </c>
      <c r="G75" s="123">
        <v>65000</v>
      </c>
      <c r="H75" s="125">
        <v>4427.58</v>
      </c>
      <c r="I75" s="123">
        <v>1865.5</v>
      </c>
      <c r="J75" s="123">
        <v>1976</v>
      </c>
      <c r="K75" s="123">
        <v>1174.68</v>
      </c>
      <c r="L75" s="123">
        <f>+Tabla1[[#This Row],[ISR
(Ley 11-92)
(1*)]]+Tabla1[[#This Row],[Seguro 
de Pensión 
(2.87%)  
(2*)]]+Tabla1[[#This Row],[Seguro 
de Salud 
(3.04%)
 (3*)]]+Tabla1[[#This Row],[Otros
 Descuentos]]</f>
        <v>9443.76</v>
      </c>
      <c r="M75" s="123">
        <f>+Tabla1[[#This Row],[Sueldo Bruto
(RD$)]]-Tabla1[[#This Row],[Total de 
Descuentos]]</f>
        <v>55556.24</v>
      </c>
      <c r="N75" s="119" t="s">
        <v>18</v>
      </c>
      <c r="O75" s="124" t="s">
        <v>35</v>
      </c>
    </row>
    <row r="76" spans="1:15" s="121" customFormat="1" ht="35.1" customHeight="1">
      <c r="A76" s="158" t="s">
        <v>194</v>
      </c>
      <c r="B76" s="122" t="s">
        <v>178</v>
      </c>
      <c r="C76" s="122" t="s">
        <v>173</v>
      </c>
      <c r="D76" s="122" t="s">
        <v>38</v>
      </c>
      <c r="E76" s="43">
        <v>44866</v>
      </c>
      <c r="F76" s="43">
        <v>45047</v>
      </c>
      <c r="G76" s="123">
        <v>65000</v>
      </c>
      <c r="H76" s="125">
        <v>4427.58</v>
      </c>
      <c r="I76" s="123">
        <v>1865.5</v>
      </c>
      <c r="J76" s="123">
        <v>1976</v>
      </c>
      <c r="K76" s="123">
        <v>2025</v>
      </c>
      <c r="L76" s="123">
        <f>+Tabla1[[#This Row],[ISR
(Ley 11-92)
(1*)]]+Tabla1[[#This Row],[Seguro 
de Pensión 
(2.87%)  
(2*)]]+Tabla1[[#This Row],[Seguro 
de Salud 
(3.04%)
 (3*)]]+Tabla1[[#This Row],[Otros
 Descuentos]]</f>
        <v>10294.08</v>
      </c>
      <c r="M76" s="123">
        <f>+Tabla1[[#This Row],[Sueldo Bruto
(RD$)]]-Tabla1[[#This Row],[Total de 
Descuentos]]</f>
        <v>54705.919999999998</v>
      </c>
      <c r="N76" s="119" t="s">
        <v>18</v>
      </c>
      <c r="O76" s="124" t="s">
        <v>35</v>
      </c>
    </row>
    <row r="77" spans="1:15" s="121" customFormat="1" ht="35.1" customHeight="1">
      <c r="A77" s="158" t="s">
        <v>197</v>
      </c>
      <c r="B77" s="122" t="s">
        <v>180</v>
      </c>
      <c r="C77" s="122" t="s">
        <v>173</v>
      </c>
      <c r="D77" s="122" t="s">
        <v>38</v>
      </c>
      <c r="E77" s="43">
        <v>44849</v>
      </c>
      <c r="F77" s="43">
        <v>45031</v>
      </c>
      <c r="G77" s="123">
        <v>65000</v>
      </c>
      <c r="H77" s="125">
        <v>3822.6</v>
      </c>
      <c r="I77" s="123">
        <v>1865.5</v>
      </c>
      <c r="J77" s="123">
        <v>1976</v>
      </c>
      <c r="K77" s="123">
        <v>3624.74</v>
      </c>
      <c r="L77" s="123">
        <f>+Tabla1[[#This Row],[ISR
(Ley 11-92)
(1*)]]+Tabla1[[#This Row],[Seguro 
de Pensión 
(2.87%)  
(2*)]]+Tabla1[[#This Row],[Seguro 
de Salud 
(3.04%)
 (3*)]]+Tabla1[[#This Row],[Otros
 Descuentos]]</f>
        <v>11288.84</v>
      </c>
      <c r="M77" s="123">
        <f>+Tabla1[[#This Row],[Sueldo Bruto
(RD$)]]-Tabla1[[#This Row],[Total de 
Descuentos]]</f>
        <v>53711.16</v>
      </c>
      <c r="N77" s="119" t="s">
        <v>18</v>
      </c>
      <c r="O77" s="124" t="s">
        <v>19</v>
      </c>
    </row>
    <row r="78" spans="1:15" s="121" customFormat="1" ht="35.1" customHeight="1">
      <c r="A78" s="158" t="s">
        <v>199</v>
      </c>
      <c r="B78" s="122" t="s">
        <v>182</v>
      </c>
      <c r="C78" s="122" t="s">
        <v>173</v>
      </c>
      <c r="D78" s="122" t="s">
        <v>38</v>
      </c>
      <c r="E78" s="44">
        <v>44818</v>
      </c>
      <c r="F78" s="44">
        <v>44999</v>
      </c>
      <c r="G78" s="123">
        <v>65000</v>
      </c>
      <c r="H78" s="123">
        <v>4427.58</v>
      </c>
      <c r="I78" s="123">
        <v>1865.5</v>
      </c>
      <c r="J78" s="123">
        <v>1976</v>
      </c>
      <c r="K78" s="123">
        <v>7457.15</v>
      </c>
      <c r="L78" s="123">
        <v>15726.23</v>
      </c>
      <c r="M78" s="123">
        <f>+Tabla1[[#This Row],[Sueldo Bruto
(RD$)]]-Tabla1[[#This Row],[Total de 
Descuentos]]</f>
        <v>49273.770000000004</v>
      </c>
      <c r="N78" s="119" t="s">
        <v>18</v>
      </c>
      <c r="O78" s="124" t="s">
        <v>35</v>
      </c>
    </row>
    <row r="79" spans="1:15" s="121" customFormat="1" ht="35.1" customHeight="1">
      <c r="A79" s="158" t="s">
        <v>201</v>
      </c>
      <c r="B79" s="122" t="s">
        <v>185</v>
      </c>
      <c r="C79" s="122" t="s">
        <v>173</v>
      </c>
      <c r="D79" s="122" t="s">
        <v>38</v>
      </c>
      <c r="E79" s="44">
        <v>44805</v>
      </c>
      <c r="F79" s="44">
        <v>44986</v>
      </c>
      <c r="G79" s="123">
        <v>65000</v>
      </c>
      <c r="H79" s="123">
        <v>4427.58</v>
      </c>
      <c r="I79" s="123">
        <v>1865.5</v>
      </c>
      <c r="J79" s="123">
        <v>1976</v>
      </c>
      <c r="K79" s="123">
        <v>10025</v>
      </c>
      <c r="L79" s="123">
        <f>+Tabla1[[#This Row],[ISR
(Ley 11-92)
(1*)]]+Tabla1[[#This Row],[Seguro 
de Pensión 
(2.87%)  
(2*)]]+Tabla1[[#This Row],[Seguro 
de Salud 
(3.04%)
 (3*)]]+Tabla1[[#This Row],[Otros
 Descuentos]]</f>
        <v>18294.080000000002</v>
      </c>
      <c r="M79" s="123">
        <f>+Tabla1[[#This Row],[Sueldo Bruto
(RD$)]]-Tabla1[[#This Row],[Total de 
Descuentos]]</f>
        <v>46705.919999999998</v>
      </c>
      <c r="N79" s="119" t="s">
        <v>18</v>
      </c>
      <c r="O79" s="124" t="s">
        <v>35</v>
      </c>
    </row>
    <row r="80" spans="1:15" s="121" customFormat="1" ht="35.1" customHeight="1">
      <c r="A80" s="158" t="s">
        <v>203</v>
      </c>
      <c r="B80" s="122" t="s">
        <v>444</v>
      </c>
      <c r="C80" s="122" t="s">
        <v>188</v>
      </c>
      <c r="D80" s="122" t="s">
        <v>583</v>
      </c>
      <c r="E80" s="44">
        <v>44713</v>
      </c>
      <c r="F80" s="44">
        <v>44896</v>
      </c>
      <c r="G80" s="123">
        <v>145000</v>
      </c>
      <c r="H80" s="123">
        <v>22690.49</v>
      </c>
      <c r="I80" s="123">
        <v>4161.5</v>
      </c>
      <c r="J80" s="123">
        <v>4408</v>
      </c>
      <c r="K80" s="123">
        <v>25</v>
      </c>
      <c r="L80" s="123">
        <f>+Tabla1[[#This Row],[ISR
(Ley 11-92)
(1*)]]+Tabla1[[#This Row],[Seguro 
de Pensión 
(2.87%)  
(2*)]]+Tabla1[[#This Row],[Seguro 
de Salud 
(3.04%)
 (3*)]]+Tabla1[[#This Row],[Otros
 Descuentos]]</f>
        <v>31284.99</v>
      </c>
      <c r="M80" s="123">
        <f>+Tabla1[[#This Row],[Sueldo Bruto
(RD$)]]-Tabla1[[#This Row],[Total de 
Descuentos]]</f>
        <v>113715.01</v>
      </c>
      <c r="N80" s="119" t="s">
        <v>18</v>
      </c>
      <c r="O80" s="124" t="s">
        <v>19</v>
      </c>
    </row>
    <row r="81" spans="1:15" s="121" customFormat="1" ht="35.1" customHeight="1">
      <c r="A81" s="158" t="s">
        <v>205</v>
      </c>
      <c r="B81" s="122" t="s">
        <v>187</v>
      </c>
      <c r="C81" s="122" t="s">
        <v>188</v>
      </c>
      <c r="D81" s="122" t="s">
        <v>64</v>
      </c>
      <c r="E81" s="44">
        <v>44713</v>
      </c>
      <c r="F81" s="44">
        <v>44896</v>
      </c>
      <c r="G81" s="123">
        <v>125000</v>
      </c>
      <c r="H81" s="123">
        <v>17607.88</v>
      </c>
      <c r="I81" s="123">
        <v>3587.5</v>
      </c>
      <c r="J81" s="123">
        <v>3800</v>
      </c>
      <c r="K81" s="123">
        <v>1537.45</v>
      </c>
      <c r="L81" s="123">
        <f>+Tabla1[[#This Row],[ISR
(Ley 11-92)
(1*)]]+Tabla1[[#This Row],[Seguro 
de Pensión 
(2.87%)  
(2*)]]+Tabla1[[#This Row],[Seguro 
de Salud 
(3.04%)
 (3*)]]+Tabla1[[#This Row],[Otros
 Descuentos]]</f>
        <v>26532.83</v>
      </c>
      <c r="M81" s="123">
        <f>+Tabla1[[#This Row],[Sueldo Bruto
(RD$)]]-Tabla1[[#This Row],[Total de 
Descuentos]]</f>
        <v>98467.17</v>
      </c>
      <c r="N81" s="119" t="s">
        <v>18</v>
      </c>
      <c r="O81" s="124" t="s">
        <v>19</v>
      </c>
    </row>
    <row r="82" spans="1:15" s="121" customFormat="1" ht="35.1" customHeight="1">
      <c r="A82" s="158" t="s">
        <v>207</v>
      </c>
      <c r="B82" s="122" t="s">
        <v>190</v>
      </c>
      <c r="C82" s="122" t="s">
        <v>188</v>
      </c>
      <c r="D82" s="122" t="s">
        <v>176</v>
      </c>
      <c r="E82" s="43">
        <v>44849</v>
      </c>
      <c r="F82" s="43">
        <v>45031</v>
      </c>
      <c r="G82" s="123">
        <v>85000</v>
      </c>
      <c r="H82" s="123">
        <v>8576.99</v>
      </c>
      <c r="I82" s="123">
        <v>2439.5</v>
      </c>
      <c r="J82" s="123">
        <v>2584</v>
      </c>
      <c r="K82" s="122">
        <v>25</v>
      </c>
      <c r="L82" s="123">
        <f>+Tabla1[[#This Row],[ISR
(Ley 11-92)
(1*)]]+Tabla1[[#This Row],[Seguro 
de Pensión 
(2.87%)  
(2*)]]+Tabla1[[#This Row],[Seguro 
de Salud 
(3.04%)
 (3*)]]+Tabla1[[#This Row],[Otros
 Descuentos]]</f>
        <v>13625.49</v>
      </c>
      <c r="M82" s="123">
        <f>+Tabla1[[#This Row],[Sueldo Bruto
(RD$)]]-Tabla1[[#This Row],[Total de 
Descuentos]]</f>
        <v>71374.509999999995</v>
      </c>
      <c r="N82" s="119" t="s">
        <v>18</v>
      </c>
      <c r="O82" s="124" t="s">
        <v>35</v>
      </c>
    </row>
    <row r="83" spans="1:15" s="121" customFormat="1" ht="35.1" customHeight="1">
      <c r="A83" s="158" t="s">
        <v>209</v>
      </c>
      <c r="B83" s="122" t="s">
        <v>192</v>
      </c>
      <c r="C83" s="122" t="s">
        <v>188</v>
      </c>
      <c r="D83" s="122" t="s">
        <v>193</v>
      </c>
      <c r="E83" s="44">
        <v>44805</v>
      </c>
      <c r="F83" s="44">
        <v>44986</v>
      </c>
      <c r="G83" s="123">
        <v>95000</v>
      </c>
      <c r="H83" s="123">
        <v>10551.13</v>
      </c>
      <c r="I83" s="123">
        <v>2726.5</v>
      </c>
      <c r="J83" s="123">
        <v>2888</v>
      </c>
      <c r="K83" s="123">
        <v>3864.78</v>
      </c>
      <c r="L83" s="123">
        <f>+Tabla1[[#This Row],[ISR
(Ley 11-92)
(1*)]]+Tabla1[[#This Row],[Seguro 
de Pensión 
(2.87%)  
(2*)]]+Tabla1[[#This Row],[Seguro 
de Salud 
(3.04%)
 (3*)]]+Tabla1[[#This Row],[Otros
 Descuentos]]</f>
        <v>20030.41</v>
      </c>
      <c r="M83" s="123">
        <f>+Tabla1[[#This Row],[Sueldo Bruto
(RD$)]]-Tabla1[[#This Row],[Total de 
Descuentos]]</f>
        <v>74969.59</v>
      </c>
      <c r="N83" s="119" t="s">
        <v>18</v>
      </c>
      <c r="O83" s="124" t="s">
        <v>19</v>
      </c>
    </row>
    <row r="84" spans="1:15" s="121" customFormat="1" ht="35.1" customHeight="1">
      <c r="A84" s="158" t="s">
        <v>211</v>
      </c>
      <c r="B84" s="122" t="s">
        <v>195</v>
      </c>
      <c r="C84" s="122" t="s">
        <v>188</v>
      </c>
      <c r="D84" s="122" t="s">
        <v>176</v>
      </c>
      <c r="E84" s="44">
        <v>44774</v>
      </c>
      <c r="F84" s="44">
        <v>44958</v>
      </c>
      <c r="G84" s="123">
        <v>80000</v>
      </c>
      <c r="H84" s="123">
        <v>7400.87</v>
      </c>
      <c r="I84" s="123">
        <v>2296</v>
      </c>
      <c r="J84" s="123">
        <v>2432</v>
      </c>
      <c r="K84" s="122">
        <v>25</v>
      </c>
      <c r="L84" s="123">
        <v>12153.87</v>
      </c>
      <c r="M84" s="123">
        <v>67846.13</v>
      </c>
      <c r="N84" s="119" t="s">
        <v>18</v>
      </c>
      <c r="O84" s="124" t="s">
        <v>35</v>
      </c>
    </row>
    <row r="85" spans="1:15" s="121" customFormat="1" ht="35.1" customHeight="1">
      <c r="A85" s="158" t="s">
        <v>213</v>
      </c>
      <c r="B85" s="122" t="s">
        <v>198</v>
      </c>
      <c r="C85" s="122" t="s">
        <v>188</v>
      </c>
      <c r="D85" s="122" t="s">
        <v>176</v>
      </c>
      <c r="E85" s="44">
        <v>44866</v>
      </c>
      <c r="F85" s="44">
        <v>45047</v>
      </c>
      <c r="G85" s="123">
        <v>80000</v>
      </c>
      <c r="H85" s="125">
        <v>7400.87</v>
      </c>
      <c r="I85" s="123">
        <v>2296</v>
      </c>
      <c r="J85" s="123">
        <v>2432</v>
      </c>
      <c r="K85" s="122">
        <v>125</v>
      </c>
      <c r="L85" s="123">
        <f>+Tabla1[[#This Row],[ISR
(Ley 11-92)
(1*)]]+Tabla1[[#This Row],[Seguro 
de Pensión 
(2.87%)  
(2*)]]+Tabla1[[#This Row],[Seguro 
de Salud 
(3.04%)
 (3*)]]+Tabla1[[#This Row],[Otros
 Descuentos]]</f>
        <v>12253.869999999999</v>
      </c>
      <c r="M85" s="123">
        <f>+Tabla1[[#This Row],[Sueldo Bruto
(RD$)]]-Tabla1[[#This Row],[Total de 
Descuentos]]</f>
        <v>67746.13</v>
      </c>
      <c r="N85" s="119" t="s">
        <v>18</v>
      </c>
      <c r="O85" s="124" t="s">
        <v>19</v>
      </c>
    </row>
    <row r="86" spans="1:15" s="121" customFormat="1" ht="35.1" customHeight="1">
      <c r="A86" s="158" t="s">
        <v>215</v>
      </c>
      <c r="B86" s="122" t="s">
        <v>202</v>
      </c>
      <c r="C86" s="122" t="s">
        <v>188</v>
      </c>
      <c r="D86" s="122" t="s">
        <v>176</v>
      </c>
      <c r="E86" s="44">
        <v>44866</v>
      </c>
      <c r="F86" s="44">
        <v>45047</v>
      </c>
      <c r="G86" s="123">
        <v>80000</v>
      </c>
      <c r="H86" s="123">
        <v>7400.87</v>
      </c>
      <c r="I86" s="123">
        <v>2296</v>
      </c>
      <c r="J86" s="123">
        <v>2432</v>
      </c>
      <c r="K86" s="122">
        <v>25</v>
      </c>
      <c r="L86" s="123">
        <v>12153.87</v>
      </c>
      <c r="M86" s="123">
        <v>67846.13</v>
      </c>
      <c r="N86" s="119" t="s">
        <v>18</v>
      </c>
      <c r="O86" s="124" t="s">
        <v>19</v>
      </c>
    </row>
    <row r="87" spans="1:15" s="121" customFormat="1" ht="35.1" customHeight="1">
      <c r="A87" s="158" t="s">
        <v>217</v>
      </c>
      <c r="B87" s="122" t="s">
        <v>204</v>
      </c>
      <c r="C87" s="122" t="s">
        <v>188</v>
      </c>
      <c r="D87" s="122" t="s">
        <v>196</v>
      </c>
      <c r="E87" s="44">
        <v>44880</v>
      </c>
      <c r="F87" s="44">
        <v>45061</v>
      </c>
      <c r="G87" s="123">
        <v>65000</v>
      </c>
      <c r="H87" s="123">
        <v>4427.58</v>
      </c>
      <c r="I87" s="123">
        <v>1865.5</v>
      </c>
      <c r="J87" s="123">
        <v>1976</v>
      </c>
      <c r="K87" s="122">
        <v>25</v>
      </c>
      <c r="L87" s="123">
        <v>8294.08</v>
      </c>
      <c r="M87" s="123">
        <v>56705.919999999998</v>
      </c>
      <c r="N87" s="119" t="s">
        <v>18</v>
      </c>
      <c r="O87" s="124" t="s">
        <v>35</v>
      </c>
    </row>
    <row r="88" spans="1:15" s="121" customFormat="1" ht="35.1" customHeight="1">
      <c r="A88" s="158" t="s">
        <v>221</v>
      </c>
      <c r="B88" s="122" t="s">
        <v>206</v>
      </c>
      <c r="C88" s="122" t="s">
        <v>188</v>
      </c>
      <c r="D88" s="122" t="s">
        <v>196</v>
      </c>
      <c r="E88" s="44">
        <v>44880</v>
      </c>
      <c r="F88" s="44">
        <v>45061</v>
      </c>
      <c r="G88" s="123">
        <v>65000</v>
      </c>
      <c r="H88" s="123">
        <v>4427.58</v>
      </c>
      <c r="I88" s="123">
        <v>1865.5</v>
      </c>
      <c r="J88" s="123">
        <v>1976</v>
      </c>
      <c r="K88" s="122">
        <v>25</v>
      </c>
      <c r="L88" s="123">
        <v>8294.08</v>
      </c>
      <c r="M88" s="123">
        <v>56705.919999999998</v>
      </c>
      <c r="N88" s="119" t="s">
        <v>18</v>
      </c>
      <c r="O88" s="124" t="s">
        <v>35</v>
      </c>
    </row>
    <row r="89" spans="1:15" s="121" customFormat="1" ht="35.1" customHeight="1">
      <c r="A89" s="158" t="s">
        <v>223</v>
      </c>
      <c r="B89" s="122" t="s">
        <v>214</v>
      </c>
      <c r="C89" s="122" t="s">
        <v>188</v>
      </c>
      <c r="D89" s="122" t="s">
        <v>196</v>
      </c>
      <c r="E89" s="43">
        <v>44774</v>
      </c>
      <c r="F89" s="43">
        <v>44958</v>
      </c>
      <c r="G89" s="123">
        <v>65000</v>
      </c>
      <c r="H89" s="125">
        <v>4427.58</v>
      </c>
      <c r="I89" s="123">
        <v>1865.5</v>
      </c>
      <c r="J89" s="123">
        <v>1976</v>
      </c>
      <c r="K89" s="122">
        <v>25</v>
      </c>
      <c r="L89" s="123">
        <v>8294.08</v>
      </c>
      <c r="M89" s="123">
        <v>56705.919999999998</v>
      </c>
      <c r="N89" s="119" t="s">
        <v>18</v>
      </c>
      <c r="O89" s="124" t="s">
        <v>19</v>
      </c>
    </row>
    <row r="90" spans="1:15" s="121" customFormat="1" ht="35.1" customHeight="1">
      <c r="A90" s="158" t="s">
        <v>227</v>
      </c>
      <c r="B90" s="122" t="s">
        <v>208</v>
      </c>
      <c r="C90" s="122" t="s">
        <v>188</v>
      </c>
      <c r="D90" s="122" t="s">
        <v>38</v>
      </c>
      <c r="E90" s="44">
        <v>44805</v>
      </c>
      <c r="F90" s="44">
        <v>44986</v>
      </c>
      <c r="G90" s="123">
        <v>80000</v>
      </c>
      <c r="H90" s="123">
        <v>7400.87</v>
      </c>
      <c r="I90" s="123">
        <v>2296</v>
      </c>
      <c r="J90" s="123">
        <v>2432</v>
      </c>
      <c r="K90" s="122">
        <v>25</v>
      </c>
      <c r="L90" s="123">
        <v>12153.87</v>
      </c>
      <c r="M90" s="123">
        <v>67846.13</v>
      </c>
      <c r="N90" s="119" t="s">
        <v>18</v>
      </c>
      <c r="O90" s="124" t="s">
        <v>19</v>
      </c>
    </row>
    <row r="91" spans="1:15" s="121" customFormat="1" ht="35.1" customHeight="1">
      <c r="A91" s="158" t="s">
        <v>229</v>
      </c>
      <c r="B91" s="122" t="s">
        <v>210</v>
      </c>
      <c r="C91" s="122" t="s">
        <v>188</v>
      </c>
      <c r="D91" s="122" t="s">
        <v>38</v>
      </c>
      <c r="E91" s="44">
        <v>44835</v>
      </c>
      <c r="F91" s="44">
        <v>45017</v>
      </c>
      <c r="G91" s="123">
        <v>65000</v>
      </c>
      <c r="H91" s="123">
        <v>4427.58</v>
      </c>
      <c r="I91" s="123">
        <v>1865.5</v>
      </c>
      <c r="J91" s="123">
        <v>1976</v>
      </c>
      <c r="K91" s="122">
        <v>25</v>
      </c>
      <c r="L91" s="123">
        <v>8294.08</v>
      </c>
      <c r="M91" s="123">
        <v>56705.919999999998</v>
      </c>
      <c r="N91" s="119" t="s">
        <v>18</v>
      </c>
      <c r="O91" s="124" t="s">
        <v>19</v>
      </c>
    </row>
    <row r="92" spans="1:15" s="121" customFormat="1" ht="35.1" customHeight="1">
      <c r="A92" s="158" t="s">
        <v>232</v>
      </c>
      <c r="B92" s="122" t="s">
        <v>212</v>
      </c>
      <c r="C92" s="122" t="s">
        <v>188</v>
      </c>
      <c r="D92" s="122" t="s">
        <v>59</v>
      </c>
      <c r="E92" s="44">
        <v>44759</v>
      </c>
      <c r="F92" s="44">
        <v>44943</v>
      </c>
      <c r="G92" s="123">
        <v>42000</v>
      </c>
      <c r="H92" s="122">
        <v>724.92</v>
      </c>
      <c r="I92" s="123">
        <v>1205.4000000000001</v>
      </c>
      <c r="J92" s="123">
        <v>1276.8</v>
      </c>
      <c r="K92" s="123">
        <v>7986.45</v>
      </c>
      <c r="L92" s="123">
        <f>+Tabla1[[#This Row],[ISR
(Ley 11-92)
(1*)]]+Tabla1[[#This Row],[Seguro 
de Pensión 
(2.87%)  
(2*)]]+Tabla1[[#This Row],[Seguro 
de Salud 
(3.04%)
 (3*)]]+Tabla1[[#This Row],[Otros
 Descuentos]]</f>
        <v>11193.57</v>
      </c>
      <c r="M92" s="123">
        <f>+Tabla1[[#This Row],[Sueldo Bruto
(RD$)]]-Tabla1[[#This Row],[Total de 
Descuentos]]</f>
        <v>30806.43</v>
      </c>
      <c r="N92" s="119" t="s">
        <v>18</v>
      </c>
      <c r="O92" s="124" t="s">
        <v>19</v>
      </c>
    </row>
    <row r="93" spans="1:15" s="121" customFormat="1" ht="35.1" customHeight="1">
      <c r="A93" s="158" t="s">
        <v>235</v>
      </c>
      <c r="B93" s="122" t="s">
        <v>216</v>
      </c>
      <c r="C93" s="122" t="s">
        <v>188</v>
      </c>
      <c r="D93" s="122" t="s">
        <v>59</v>
      </c>
      <c r="E93" s="43">
        <v>44774</v>
      </c>
      <c r="F93" s="43">
        <v>44958</v>
      </c>
      <c r="G93" s="123">
        <v>42000</v>
      </c>
      <c r="H93" s="122">
        <v>724.92</v>
      </c>
      <c r="I93" s="123">
        <v>1205.4000000000001</v>
      </c>
      <c r="J93" s="123">
        <v>1276.8</v>
      </c>
      <c r="K93" s="122">
        <v>25</v>
      </c>
      <c r="L93" s="123">
        <v>3232.12</v>
      </c>
      <c r="M93" s="123">
        <v>38767.879999999997</v>
      </c>
      <c r="N93" s="119" t="s">
        <v>18</v>
      </c>
      <c r="O93" s="124" t="s">
        <v>19</v>
      </c>
    </row>
    <row r="94" spans="1:15" s="121" customFormat="1" ht="35.1" customHeight="1">
      <c r="A94" s="158" t="s">
        <v>237</v>
      </c>
      <c r="B94" s="122" t="s">
        <v>592</v>
      </c>
      <c r="C94" s="122" t="s">
        <v>188</v>
      </c>
      <c r="D94" s="122" t="s">
        <v>59</v>
      </c>
      <c r="E94" s="43">
        <v>44788</v>
      </c>
      <c r="F94" s="43">
        <v>44972</v>
      </c>
      <c r="G94" s="123">
        <v>42000</v>
      </c>
      <c r="H94" s="122">
        <v>724.92</v>
      </c>
      <c r="I94" s="123">
        <v>1205.4000000000001</v>
      </c>
      <c r="J94" s="123">
        <v>1276.8</v>
      </c>
      <c r="K94" s="122">
        <v>25</v>
      </c>
      <c r="L94" s="123">
        <v>3232.12</v>
      </c>
      <c r="M94" s="123">
        <v>38767.879999999997</v>
      </c>
      <c r="N94" s="119" t="s">
        <v>18</v>
      </c>
      <c r="O94" s="124" t="s">
        <v>19</v>
      </c>
    </row>
    <row r="95" spans="1:15" s="121" customFormat="1" ht="35.1" customHeight="1">
      <c r="A95" s="158" t="s">
        <v>239</v>
      </c>
      <c r="B95" s="142" t="s">
        <v>617</v>
      </c>
      <c r="C95" s="122" t="s">
        <v>188</v>
      </c>
      <c r="D95" s="122" t="s">
        <v>59</v>
      </c>
      <c r="E95" s="146">
        <v>44835</v>
      </c>
      <c r="F95" s="146">
        <v>45017</v>
      </c>
      <c r="G95" s="144">
        <v>42000</v>
      </c>
      <c r="H95" s="122">
        <v>724.92</v>
      </c>
      <c r="I95" s="123">
        <v>1205.4000000000001</v>
      </c>
      <c r="J95" s="123">
        <v>1276.8</v>
      </c>
      <c r="K95" s="122">
        <v>25</v>
      </c>
      <c r="L95" s="123">
        <v>3232.12</v>
      </c>
      <c r="M95" s="123">
        <v>38767.879999999997</v>
      </c>
      <c r="N95" s="119" t="s">
        <v>18</v>
      </c>
      <c r="O95" s="124" t="s">
        <v>35</v>
      </c>
    </row>
    <row r="96" spans="1:15" s="121" customFormat="1" ht="35.1" customHeight="1">
      <c r="A96" s="158" t="s">
        <v>241</v>
      </c>
      <c r="B96" s="122" t="s">
        <v>456</v>
      </c>
      <c r="C96" s="122" t="s">
        <v>452</v>
      </c>
      <c r="D96" s="122" t="s">
        <v>72</v>
      </c>
      <c r="E96" s="43">
        <v>44713</v>
      </c>
      <c r="F96" s="43">
        <v>44896</v>
      </c>
      <c r="G96" s="123">
        <v>80000</v>
      </c>
      <c r="H96" s="123">
        <v>7400.87</v>
      </c>
      <c r="I96" s="123">
        <v>2296</v>
      </c>
      <c r="J96" s="123">
        <v>2432</v>
      </c>
      <c r="K96" s="122">
        <v>125</v>
      </c>
      <c r="L96" s="123">
        <f>+Tabla1[[#This Row],[ISR
(Ley 11-92)
(1*)]]+Tabla1[[#This Row],[Seguro 
de Pensión 
(2.87%)  
(2*)]]+Tabla1[[#This Row],[Seguro 
de Salud 
(3.04%)
 (3*)]]+Tabla1[[#This Row],[Otros
 Descuentos]]</f>
        <v>12253.869999999999</v>
      </c>
      <c r="M96" s="123">
        <f>+Tabla1[[#This Row],[Sueldo Bruto
(RD$)]]-Tabla1[[#This Row],[Total de 
Descuentos]]</f>
        <v>67746.13</v>
      </c>
      <c r="N96" s="119" t="s">
        <v>18</v>
      </c>
      <c r="O96" s="124" t="s">
        <v>35</v>
      </c>
    </row>
    <row r="97" spans="1:15" s="121" customFormat="1" ht="35.1" customHeight="1">
      <c r="A97" s="158" t="s">
        <v>243</v>
      </c>
      <c r="B97" s="142" t="s">
        <v>621</v>
      </c>
      <c r="C97" s="122" t="s">
        <v>452</v>
      </c>
      <c r="D97" s="122" t="s">
        <v>622</v>
      </c>
      <c r="E97" s="143">
        <v>44835</v>
      </c>
      <c r="F97" s="143">
        <v>45017</v>
      </c>
      <c r="G97" s="144">
        <v>90000</v>
      </c>
      <c r="H97" s="144">
        <v>9753.1200000000008</v>
      </c>
      <c r="I97" s="144">
        <v>2583</v>
      </c>
      <c r="J97" s="144">
        <v>2736</v>
      </c>
      <c r="K97" s="144">
        <v>25</v>
      </c>
      <c r="L97" s="144">
        <v>15097.12</v>
      </c>
      <c r="M97" s="144">
        <v>74902.880000000005</v>
      </c>
      <c r="N97" s="166" t="s">
        <v>18</v>
      </c>
      <c r="O97" s="145" t="s">
        <v>35</v>
      </c>
    </row>
    <row r="98" spans="1:15" s="121" customFormat="1" ht="35.1" customHeight="1">
      <c r="A98" s="158" t="s">
        <v>245</v>
      </c>
      <c r="B98" s="122" t="s">
        <v>218</v>
      </c>
      <c r="C98" s="122" t="s">
        <v>219</v>
      </c>
      <c r="D98" s="122" t="s">
        <v>220</v>
      </c>
      <c r="E98" s="44">
        <v>44805</v>
      </c>
      <c r="F98" s="44">
        <v>44986</v>
      </c>
      <c r="G98" s="123">
        <v>110000</v>
      </c>
      <c r="H98" s="123">
        <v>14457.62</v>
      </c>
      <c r="I98" s="123">
        <v>3157</v>
      </c>
      <c r="J98" s="123">
        <v>3344</v>
      </c>
      <c r="K98" s="123">
        <v>5125</v>
      </c>
      <c r="L98" s="123">
        <v>26083.62</v>
      </c>
      <c r="M98" s="123">
        <v>83916.38</v>
      </c>
      <c r="N98" s="119" t="s">
        <v>18</v>
      </c>
      <c r="O98" s="124" t="s">
        <v>35</v>
      </c>
    </row>
    <row r="99" spans="1:15" s="121" customFormat="1" ht="35.1" customHeight="1">
      <c r="A99" s="158" t="s">
        <v>247</v>
      </c>
      <c r="B99" s="122" t="s">
        <v>222</v>
      </c>
      <c r="C99" s="122" t="s">
        <v>219</v>
      </c>
      <c r="D99" s="122" t="s">
        <v>94</v>
      </c>
      <c r="E99" s="43">
        <v>44841</v>
      </c>
      <c r="F99" s="43">
        <v>45023</v>
      </c>
      <c r="G99" s="123">
        <v>85000</v>
      </c>
      <c r="H99" s="123">
        <v>8576.99</v>
      </c>
      <c r="I99" s="123">
        <v>2439.5</v>
      </c>
      <c r="J99" s="123">
        <v>2584</v>
      </c>
      <c r="K99" s="122">
        <v>25</v>
      </c>
      <c r="L99" s="123">
        <f>+Tabla1[[#This Row],[ISR
(Ley 11-92)
(1*)]]+Tabla1[[#This Row],[Seguro 
de Pensión 
(2.87%)  
(2*)]]+Tabla1[[#This Row],[Seguro 
de Salud 
(3.04%)
 (3*)]]+Tabla1[[#This Row],[Otros
 Descuentos]]</f>
        <v>13625.49</v>
      </c>
      <c r="M99" s="123">
        <f>+Tabla1[[#This Row],[Sueldo Bruto
(RD$)]]-Tabla1[[#This Row],[Total de 
Descuentos]]</f>
        <v>71374.509999999995</v>
      </c>
      <c r="N99" s="119" t="s">
        <v>18</v>
      </c>
      <c r="O99" s="124" t="s">
        <v>19</v>
      </c>
    </row>
    <row r="100" spans="1:15" s="121" customFormat="1" ht="35.1" customHeight="1">
      <c r="A100" s="158" t="s">
        <v>248</v>
      </c>
      <c r="B100" s="122" t="s">
        <v>224</v>
      </c>
      <c r="C100" s="122" t="s">
        <v>225</v>
      </c>
      <c r="D100" s="122" t="s">
        <v>226</v>
      </c>
      <c r="E100" s="43">
        <v>44866</v>
      </c>
      <c r="F100" s="43">
        <v>45047</v>
      </c>
      <c r="G100" s="123">
        <v>65000</v>
      </c>
      <c r="H100" s="123">
        <v>4427.58</v>
      </c>
      <c r="I100" s="123">
        <v>1865.5</v>
      </c>
      <c r="J100" s="123">
        <v>1976</v>
      </c>
      <c r="K100" s="123">
        <v>6493.61</v>
      </c>
      <c r="L100" s="123">
        <f>+Tabla1[[#This Row],[ISR
(Ley 11-92)
(1*)]]+Tabla1[[#This Row],[Seguro 
de Pensión 
(2.87%)  
(2*)]]+Tabla1[[#This Row],[Seguro 
de Salud 
(3.04%)
 (3*)]]+Tabla1[[#This Row],[Otros
 Descuentos]]</f>
        <v>14762.689999999999</v>
      </c>
      <c r="M100" s="123">
        <f>+Tabla1[[#This Row],[Sueldo Bruto
(RD$)]]-Tabla1[[#This Row],[Total de 
Descuentos]]</f>
        <v>50237.31</v>
      </c>
      <c r="N100" s="119" t="s">
        <v>18</v>
      </c>
      <c r="O100" s="124" t="s">
        <v>19</v>
      </c>
    </row>
    <row r="101" spans="1:15" s="121" customFormat="1" ht="35.1" customHeight="1">
      <c r="A101" s="158" t="s">
        <v>250</v>
      </c>
      <c r="B101" s="122" t="s">
        <v>228</v>
      </c>
      <c r="C101" s="122" t="s">
        <v>225</v>
      </c>
      <c r="D101" s="122" t="s">
        <v>226</v>
      </c>
      <c r="E101" s="43">
        <v>44866</v>
      </c>
      <c r="F101" s="43">
        <v>45047</v>
      </c>
      <c r="G101" s="123">
        <v>65000</v>
      </c>
      <c r="H101" s="123">
        <v>4125.09</v>
      </c>
      <c r="I101" s="123">
        <v>1865.5</v>
      </c>
      <c r="J101" s="123">
        <v>1976</v>
      </c>
      <c r="K101" s="123">
        <v>1637.45</v>
      </c>
      <c r="L101" s="123">
        <f>+Tabla1[[#This Row],[ISR
(Ley 11-92)
(1*)]]+Tabla1[[#This Row],[Seguro 
de Pensión 
(2.87%)  
(2*)]]+Tabla1[[#This Row],[Seguro 
de Salud 
(3.04%)
 (3*)]]+Tabla1[[#This Row],[Otros
 Descuentos]]</f>
        <v>9604.0400000000009</v>
      </c>
      <c r="M101" s="123">
        <f>+Tabla1[[#This Row],[Sueldo Bruto
(RD$)]]-Tabla1[[#This Row],[Total de 
Descuentos]]</f>
        <v>55395.96</v>
      </c>
      <c r="N101" s="119" t="s">
        <v>18</v>
      </c>
      <c r="O101" s="124" t="s">
        <v>19</v>
      </c>
    </row>
    <row r="102" spans="1:15" s="121" customFormat="1" ht="35.1" customHeight="1">
      <c r="A102" s="158" t="s">
        <v>252</v>
      </c>
      <c r="B102" s="122" t="s">
        <v>582</v>
      </c>
      <c r="C102" s="122" t="s">
        <v>225</v>
      </c>
      <c r="D102" s="122" t="s">
        <v>226</v>
      </c>
      <c r="E102" s="44">
        <v>44743</v>
      </c>
      <c r="F102" s="44">
        <v>44927</v>
      </c>
      <c r="G102" s="123">
        <v>65000</v>
      </c>
      <c r="H102" s="123">
        <f>+H91</f>
        <v>4427.58</v>
      </c>
      <c r="I102" s="123">
        <f>+Tabla1[[#This Row],[Sueldo Bruto
(RD$)]]*0.0287</f>
        <v>1865.5</v>
      </c>
      <c r="J102" s="123">
        <f>+Tabla1[[#This Row],[Sueldo Bruto
(RD$)]]*0.0304</f>
        <v>1976</v>
      </c>
      <c r="K102" s="123">
        <v>1025</v>
      </c>
      <c r="L102" s="123">
        <v>9294.08</v>
      </c>
      <c r="M102" s="123">
        <v>55705.919999999998</v>
      </c>
      <c r="N102" s="119" t="s">
        <v>18</v>
      </c>
      <c r="O102" s="124" t="s">
        <v>19</v>
      </c>
    </row>
    <row r="103" spans="1:15" s="121" customFormat="1" ht="35.1" customHeight="1">
      <c r="A103" s="158" t="s">
        <v>254</v>
      </c>
      <c r="B103" s="122" t="s">
        <v>230</v>
      </c>
      <c r="C103" s="122" t="s">
        <v>231</v>
      </c>
      <c r="D103" s="122" t="s">
        <v>64</v>
      </c>
      <c r="E103" s="44">
        <v>44805</v>
      </c>
      <c r="F103" s="44">
        <v>44986</v>
      </c>
      <c r="G103" s="123">
        <v>125000</v>
      </c>
      <c r="H103" s="125">
        <v>17985.990000000002</v>
      </c>
      <c r="I103" s="123">
        <v>3587.5</v>
      </c>
      <c r="J103" s="123">
        <v>3800</v>
      </c>
      <c r="K103" s="123">
        <v>3734.46</v>
      </c>
      <c r="L103" s="123">
        <v>29107.95</v>
      </c>
      <c r="M103" s="123">
        <v>95892.05</v>
      </c>
      <c r="N103" s="119" t="s">
        <v>18</v>
      </c>
      <c r="O103" s="124" t="s">
        <v>35</v>
      </c>
    </row>
    <row r="104" spans="1:15" s="121" customFormat="1" ht="35.1" customHeight="1">
      <c r="A104" s="158" t="s">
        <v>256</v>
      </c>
      <c r="B104" s="122" t="s">
        <v>233</v>
      </c>
      <c r="C104" s="122" t="s">
        <v>231</v>
      </c>
      <c r="D104" s="122" t="s">
        <v>17</v>
      </c>
      <c r="E104" s="44">
        <v>44736</v>
      </c>
      <c r="F104" s="44">
        <v>44919</v>
      </c>
      <c r="G104" s="123">
        <v>90000</v>
      </c>
      <c r="H104" s="125">
        <v>9753.1200000000008</v>
      </c>
      <c r="I104" s="123">
        <v>2583</v>
      </c>
      <c r="J104" s="123">
        <v>2736</v>
      </c>
      <c r="K104" s="122">
        <v>25</v>
      </c>
      <c r="L104" s="123">
        <f>+Tabla1[[#This Row],[ISR
(Ley 11-92)
(1*)]]+Tabla1[[#This Row],[Seguro 
de Pensión 
(2.87%)  
(2*)]]+Tabla1[[#This Row],[Seguro 
de Salud 
(3.04%)
 (3*)]]+Tabla1[[#This Row],[Otros
 Descuentos]]</f>
        <v>15097.12</v>
      </c>
      <c r="M104" s="123">
        <f>+Tabla1[[#This Row],[Sueldo Bruto
(RD$)]]-Tabla1[[#This Row],[Total de 
Descuentos]]</f>
        <v>74902.880000000005</v>
      </c>
      <c r="N104" s="119" t="s">
        <v>18</v>
      </c>
      <c r="O104" s="124" t="s">
        <v>35</v>
      </c>
    </row>
    <row r="105" spans="1:15" s="121" customFormat="1" ht="35.1" customHeight="1">
      <c r="A105" s="158" t="s">
        <v>259</v>
      </c>
      <c r="B105" s="122" t="s">
        <v>236</v>
      </c>
      <c r="C105" s="122" t="s">
        <v>231</v>
      </c>
      <c r="D105" s="122" t="s">
        <v>234</v>
      </c>
      <c r="E105" s="44">
        <v>44866</v>
      </c>
      <c r="F105" s="44">
        <v>45047</v>
      </c>
      <c r="G105" s="123">
        <v>65000</v>
      </c>
      <c r="H105" s="125">
        <v>4427.58</v>
      </c>
      <c r="I105" s="123">
        <v>1865.5</v>
      </c>
      <c r="J105" s="123">
        <v>1976</v>
      </c>
      <c r="K105" s="122">
        <v>25</v>
      </c>
      <c r="L105" s="123">
        <f>+Tabla1[[#This Row],[ISR
(Ley 11-92)
(1*)]]+Tabla1[[#This Row],[Seguro 
de Pensión 
(2.87%)  
(2*)]]+Tabla1[[#This Row],[Seguro 
de Salud 
(3.04%)
 (3*)]]+Tabla1[[#This Row],[Otros
 Descuentos]]</f>
        <v>8294.08</v>
      </c>
      <c r="M105" s="123">
        <f>+Tabla1[[#This Row],[Sueldo Bruto
(RD$)]]-Tabla1[[#This Row],[Total de 
Descuentos]]</f>
        <v>56705.919999999998</v>
      </c>
      <c r="N105" s="119" t="s">
        <v>18</v>
      </c>
      <c r="O105" s="124" t="s">
        <v>19</v>
      </c>
    </row>
    <row r="106" spans="1:15" s="121" customFormat="1" ht="35.1" customHeight="1">
      <c r="A106" s="158" t="s">
        <v>261</v>
      </c>
      <c r="B106" s="122" t="s">
        <v>238</v>
      </c>
      <c r="C106" s="122" t="s">
        <v>231</v>
      </c>
      <c r="D106" s="122" t="s">
        <v>234</v>
      </c>
      <c r="E106" s="44">
        <v>44805</v>
      </c>
      <c r="F106" s="44">
        <v>44986</v>
      </c>
      <c r="G106" s="123">
        <v>65000</v>
      </c>
      <c r="H106" s="125">
        <v>4427.58</v>
      </c>
      <c r="I106" s="123">
        <v>1865.5</v>
      </c>
      <c r="J106" s="123">
        <v>1976</v>
      </c>
      <c r="K106" s="122">
        <v>25</v>
      </c>
      <c r="L106" s="123">
        <f>+Tabla1[[#This Row],[ISR
(Ley 11-92)
(1*)]]+Tabla1[[#This Row],[Seguro 
de Pensión 
(2.87%)  
(2*)]]+Tabla1[[#This Row],[Seguro 
de Salud 
(3.04%)
 (3*)]]+Tabla1[[#This Row],[Otros
 Descuentos]]</f>
        <v>8294.08</v>
      </c>
      <c r="M106" s="123">
        <f>+Tabla1[[#This Row],[Sueldo Bruto
(RD$)]]-Tabla1[[#This Row],[Total de 
Descuentos]]</f>
        <v>56705.919999999998</v>
      </c>
      <c r="N106" s="119" t="s">
        <v>18</v>
      </c>
      <c r="O106" s="124" t="s">
        <v>35</v>
      </c>
    </row>
    <row r="107" spans="1:15" s="121" customFormat="1" ht="35.1" customHeight="1">
      <c r="A107" s="158" t="s">
        <v>264</v>
      </c>
      <c r="B107" s="122" t="s">
        <v>240</v>
      </c>
      <c r="C107" s="122" t="s">
        <v>231</v>
      </c>
      <c r="D107" s="122" t="s">
        <v>234</v>
      </c>
      <c r="E107" s="43">
        <v>44805</v>
      </c>
      <c r="F107" s="43">
        <v>44986</v>
      </c>
      <c r="G107" s="123">
        <v>65000</v>
      </c>
      <c r="H107" s="123">
        <v>4125.09</v>
      </c>
      <c r="I107" s="123">
        <v>1865.5</v>
      </c>
      <c r="J107" s="123">
        <v>1976</v>
      </c>
      <c r="K107" s="123">
        <v>1537.45</v>
      </c>
      <c r="L107" s="123">
        <f>+Tabla1[[#This Row],[ISR
(Ley 11-92)
(1*)]]+Tabla1[[#This Row],[Seguro 
de Pensión 
(2.87%)  
(2*)]]+Tabla1[[#This Row],[Seguro 
de Salud 
(3.04%)
 (3*)]]+Tabla1[[#This Row],[Otros
 Descuentos]]</f>
        <v>9504.0400000000009</v>
      </c>
      <c r="M107" s="123">
        <f>+Tabla1[[#This Row],[Sueldo Bruto
(RD$)]]-Tabla1[[#This Row],[Total de 
Descuentos]]</f>
        <v>55495.96</v>
      </c>
      <c r="N107" s="119" t="s">
        <v>18</v>
      </c>
      <c r="O107" s="124" t="s">
        <v>35</v>
      </c>
    </row>
    <row r="108" spans="1:15" s="121" customFormat="1" ht="35.1" customHeight="1">
      <c r="A108" s="158" t="s">
        <v>266</v>
      </c>
      <c r="B108" s="122" t="s">
        <v>242</v>
      </c>
      <c r="C108" s="122" t="s">
        <v>231</v>
      </c>
      <c r="D108" s="122" t="s">
        <v>234</v>
      </c>
      <c r="E108" s="44">
        <v>44757</v>
      </c>
      <c r="F108" s="44">
        <v>44941</v>
      </c>
      <c r="G108" s="123">
        <v>65000</v>
      </c>
      <c r="H108" s="122">
        <v>4427.58</v>
      </c>
      <c r="I108" s="123">
        <v>1865.5</v>
      </c>
      <c r="J108" s="123">
        <v>1976</v>
      </c>
      <c r="K108" s="122">
        <v>25</v>
      </c>
      <c r="L108" s="123">
        <f>+Tabla1[[#This Row],[ISR
(Ley 11-92)
(1*)]]+Tabla1[[#This Row],[Seguro 
de Pensión 
(2.87%)  
(2*)]]+Tabla1[[#This Row],[Seguro 
de Salud 
(3.04%)
 (3*)]]+Tabla1[[#This Row],[Otros
 Descuentos]]</f>
        <v>8294.08</v>
      </c>
      <c r="M108" s="123">
        <f>+Tabla1[[#This Row],[Sueldo Bruto
(RD$)]]-Tabla1[[#This Row],[Total de 
Descuentos]]</f>
        <v>56705.919999999998</v>
      </c>
      <c r="N108" s="119" t="s">
        <v>18</v>
      </c>
      <c r="O108" s="124" t="s">
        <v>19</v>
      </c>
    </row>
    <row r="109" spans="1:15" s="121" customFormat="1" ht="35.1" customHeight="1">
      <c r="A109" s="158" t="s">
        <v>268</v>
      </c>
      <c r="B109" s="122" t="s">
        <v>569</v>
      </c>
      <c r="C109" s="122" t="s">
        <v>231</v>
      </c>
      <c r="D109" s="122" t="s">
        <v>234</v>
      </c>
      <c r="E109" s="44">
        <v>44881</v>
      </c>
      <c r="F109" s="44">
        <v>45062</v>
      </c>
      <c r="G109" s="123">
        <v>65000</v>
      </c>
      <c r="H109" s="123">
        <v>4427.58</v>
      </c>
      <c r="I109" s="123">
        <v>1865.5</v>
      </c>
      <c r="J109" s="123">
        <v>1976</v>
      </c>
      <c r="K109" s="123">
        <v>25</v>
      </c>
      <c r="L109" s="123">
        <f>+Tabla1[[#This Row],[ISR
(Ley 11-92)
(1*)]]+Tabla1[[#This Row],[Seguro 
de Pensión 
(2.87%)  
(2*)]]+Tabla1[[#This Row],[Seguro 
de Salud 
(3.04%)
 (3*)]]+Tabla1[[#This Row],[Otros
 Descuentos]]</f>
        <v>8294.08</v>
      </c>
      <c r="M109" s="123">
        <f>+Tabla1[[#This Row],[Sueldo Bruto
(RD$)]]-Tabla1[[#This Row],[Total de 
Descuentos]]</f>
        <v>56705.919999999998</v>
      </c>
      <c r="N109" s="126" t="s">
        <v>18</v>
      </c>
      <c r="O109" s="124" t="s">
        <v>35</v>
      </c>
    </row>
    <row r="110" spans="1:15" s="121" customFormat="1" ht="35.1" customHeight="1">
      <c r="A110" s="158" t="s">
        <v>269</v>
      </c>
      <c r="B110" s="122" t="s">
        <v>570</v>
      </c>
      <c r="C110" s="122" t="s">
        <v>231</v>
      </c>
      <c r="D110" s="122" t="s">
        <v>234</v>
      </c>
      <c r="E110" s="44">
        <v>44718</v>
      </c>
      <c r="F110" s="44">
        <v>44901</v>
      </c>
      <c r="G110" s="123">
        <v>65000</v>
      </c>
      <c r="H110" s="123">
        <v>4427.58</v>
      </c>
      <c r="I110" s="123">
        <v>1865.5</v>
      </c>
      <c r="J110" s="123">
        <v>1976</v>
      </c>
      <c r="K110" s="123">
        <v>25</v>
      </c>
      <c r="L110" s="123">
        <f>+Tabla1[[#This Row],[ISR
(Ley 11-92)
(1*)]]+Tabla1[[#This Row],[Seguro 
de Pensión 
(2.87%)  
(2*)]]+Tabla1[[#This Row],[Seguro 
de Salud 
(3.04%)
 (3*)]]+Tabla1[[#This Row],[Otros
 Descuentos]]</f>
        <v>8294.08</v>
      </c>
      <c r="M110" s="123">
        <f>+Tabla1[[#This Row],[Sueldo Bruto
(RD$)]]-Tabla1[[#This Row],[Total de 
Descuentos]]</f>
        <v>56705.919999999998</v>
      </c>
      <c r="N110" s="126" t="s">
        <v>18</v>
      </c>
      <c r="O110" s="124" t="s">
        <v>35</v>
      </c>
    </row>
    <row r="111" spans="1:15" s="121" customFormat="1" ht="35.1" customHeight="1">
      <c r="A111" s="158" t="s">
        <v>271</v>
      </c>
      <c r="B111" s="122" t="s">
        <v>246</v>
      </c>
      <c r="C111" s="122" t="s">
        <v>231</v>
      </c>
      <c r="D111" s="122" t="s">
        <v>38</v>
      </c>
      <c r="E111" s="43">
        <v>44866</v>
      </c>
      <c r="F111" s="43">
        <v>45047</v>
      </c>
      <c r="G111" s="123">
        <v>75000</v>
      </c>
      <c r="H111" s="122">
        <v>6006.89</v>
      </c>
      <c r="I111" s="123">
        <v>2152.5</v>
      </c>
      <c r="J111" s="123">
        <v>2280</v>
      </c>
      <c r="K111" s="123">
        <v>1537.45</v>
      </c>
      <c r="L111" s="123">
        <f>+Tabla1[[#This Row],[ISR
(Ley 11-92)
(1*)]]+Tabla1[[#This Row],[Seguro 
de Pensión 
(2.87%)  
(2*)]]+Tabla1[[#This Row],[Seguro 
de Salud 
(3.04%)
 (3*)]]+Tabla1[[#This Row],[Otros
 Descuentos]]</f>
        <v>11976.84</v>
      </c>
      <c r="M111" s="123">
        <f>+Tabla1[[#This Row],[Sueldo Bruto
(RD$)]]-Tabla1[[#This Row],[Total de 
Descuentos]]</f>
        <v>63023.16</v>
      </c>
      <c r="N111" s="119" t="s">
        <v>18</v>
      </c>
      <c r="O111" s="124" t="s">
        <v>19</v>
      </c>
    </row>
    <row r="112" spans="1:15" s="121" customFormat="1" ht="35.1" customHeight="1">
      <c r="A112" s="158" t="s">
        <v>273</v>
      </c>
      <c r="B112" s="122" t="s">
        <v>605</v>
      </c>
      <c r="C112" s="122" t="s">
        <v>231</v>
      </c>
      <c r="D112" s="122" t="s">
        <v>160</v>
      </c>
      <c r="E112" s="43">
        <v>44805</v>
      </c>
      <c r="F112" s="43">
        <v>44986</v>
      </c>
      <c r="G112" s="123">
        <v>65000</v>
      </c>
      <c r="H112" s="123">
        <v>4427.58</v>
      </c>
      <c r="I112" s="123">
        <v>1865.5</v>
      </c>
      <c r="J112" s="123">
        <v>1976</v>
      </c>
      <c r="K112" s="123">
        <v>125</v>
      </c>
      <c r="L112" s="123">
        <f>+Tabla1[[#This Row],[ISR
(Ley 11-92)
(1*)]]+Tabla1[[#This Row],[Seguro 
de Pensión 
(2.87%)  
(2*)]]+Tabla1[[#This Row],[Seguro 
de Salud 
(3.04%)
 (3*)]]+Tabla1[[#This Row],[Otros
 Descuentos]]</f>
        <v>8394.08</v>
      </c>
      <c r="M112" s="123">
        <f>+Tabla1[[#This Row],[Sueldo Bruto
(RD$)]]-Tabla1[[#This Row],[Total de 
Descuentos]]</f>
        <v>56605.919999999998</v>
      </c>
      <c r="N112" s="119" t="s">
        <v>18</v>
      </c>
      <c r="O112" s="124" t="s">
        <v>19</v>
      </c>
    </row>
    <row r="113" spans="1:15" s="121" customFormat="1" ht="35.1" customHeight="1">
      <c r="A113" s="158" t="s">
        <v>276</v>
      </c>
      <c r="B113" s="122" t="s">
        <v>249</v>
      </c>
      <c r="C113" s="122" t="s">
        <v>231</v>
      </c>
      <c r="D113" s="122" t="s">
        <v>38</v>
      </c>
      <c r="E113" s="44">
        <v>44853</v>
      </c>
      <c r="F113" s="44">
        <v>45035</v>
      </c>
      <c r="G113" s="123">
        <v>65000</v>
      </c>
      <c r="H113" s="125">
        <v>4427.58</v>
      </c>
      <c r="I113" s="123">
        <v>1865.5</v>
      </c>
      <c r="J113" s="123">
        <v>1976</v>
      </c>
      <c r="K113" s="122">
        <v>25</v>
      </c>
      <c r="L113" s="123">
        <f>+Tabla1[[#This Row],[ISR
(Ley 11-92)
(1*)]]+Tabla1[[#This Row],[Seguro 
de Pensión 
(2.87%)  
(2*)]]+Tabla1[[#This Row],[Seguro 
de Salud 
(3.04%)
 (3*)]]+Tabla1[[#This Row],[Otros
 Descuentos]]</f>
        <v>8294.08</v>
      </c>
      <c r="M113" s="123">
        <f>+Tabla1[[#This Row],[Sueldo Bruto
(RD$)]]-Tabla1[[#This Row],[Total de 
Descuentos]]</f>
        <v>56705.919999999998</v>
      </c>
      <c r="N113" s="119" t="s">
        <v>18</v>
      </c>
      <c r="O113" s="124" t="s">
        <v>19</v>
      </c>
    </row>
    <row r="114" spans="1:15" s="121" customFormat="1" ht="35.1" customHeight="1">
      <c r="A114" s="158" t="s">
        <v>278</v>
      </c>
      <c r="B114" s="122" t="s">
        <v>251</v>
      </c>
      <c r="C114" s="122" t="s">
        <v>231</v>
      </c>
      <c r="D114" s="122" t="s">
        <v>38</v>
      </c>
      <c r="E114" s="44">
        <v>44849</v>
      </c>
      <c r="F114" s="44">
        <v>45031</v>
      </c>
      <c r="G114" s="123">
        <v>65000</v>
      </c>
      <c r="H114" s="125">
        <v>4427.58</v>
      </c>
      <c r="I114" s="123">
        <v>1865.5</v>
      </c>
      <c r="J114" s="123">
        <v>1976</v>
      </c>
      <c r="K114" s="122">
        <v>25</v>
      </c>
      <c r="L114" s="123">
        <f>+Tabla1[[#This Row],[ISR
(Ley 11-92)
(1*)]]+Tabla1[[#This Row],[Seguro 
de Pensión 
(2.87%)  
(2*)]]+Tabla1[[#This Row],[Seguro 
de Salud 
(3.04%)
 (3*)]]+Tabla1[[#This Row],[Otros
 Descuentos]]</f>
        <v>8294.08</v>
      </c>
      <c r="M114" s="123">
        <f>+Tabla1[[#This Row],[Sueldo Bruto
(RD$)]]-Tabla1[[#This Row],[Total de 
Descuentos]]</f>
        <v>56705.919999999998</v>
      </c>
      <c r="N114" s="119" t="s">
        <v>18</v>
      </c>
      <c r="O114" s="124" t="s">
        <v>19</v>
      </c>
    </row>
    <row r="115" spans="1:15" s="121" customFormat="1" ht="35.1" customHeight="1">
      <c r="A115" s="158" t="s">
        <v>280</v>
      </c>
      <c r="B115" s="122" t="s">
        <v>253</v>
      </c>
      <c r="C115" s="122" t="s">
        <v>231</v>
      </c>
      <c r="D115" s="122" t="s">
        <v>38</v>
      </c>
      <c r="E115" s="45">
        <v>44745</v>
      </c>
      <c r="F115" s="45">
        <v>44929</v>
      </c>
      <c r="G115" s="123">
        <v>65000</v>
      </c>
      <c r="H115" s="123">
        <v>4427.58</v>
      </c>
      <c r="I115" s="123">
        <v>1865.5</v>
      </c>
      <c r="J115" s="123">
        <v>1976</v>
      </c>
      <c r="K115" s="123">
        <v>4377.07</v>
      </c>
      <c r="L115" s="123">
        <f>+Tabla1[[#This Row],[ISR
(Ley 11-92)
(1*)]]+Tabla1[[#This Row],[Seguro 
de Pensión 
(2.87%)  
(2*)]]+Tabla1[[#This Row],[Seguro 
de Salud 
(3.04%)
 (3*)]]+Tabla1[[#This Row],[Otros
 Descuentos]]</f>
        <v>12646.15</v>
      </c>
      <c r="M115" s="123">
        <f>+Tabla1[[#This Row],[Sueldo Bruto
(RD$)]]-Tabla1[[#This Row],[Total de 
Descuentos]]</f>
        <v>52353.85</v>
      </c>
      <c r="N115" s="119" t="s">
        <v>18</v>
      </c>
      <c r="O115" s="124" t="s">
        <v>19</v>
      </c>
    </row>
    <row r="116" spans="1:15" s="121" customFormat="1" ht="35.1" customHeight="1">
      <c r="A116" s="158" t="s">
        <v>282</v>
      </c>
      <c r="B116" s="122" t="s">
        <v>257</v>
      </c>
      <c r="C116" s="122" t="s">
        <v>255</v>
      </c>
      <c r="D116" s="122" t="s">
        <v>258</v>
      </c>
      <c r="E116" s="43">
        <v>44774</v>
      </c>
      <c r="F116" s="43">
        <v>44958</v>
      </c>
      <c r="G116" s="123">
        <v>100000</v>
      </c>
      <c r="H116" s="125">
        <v>11727.26</v>
      </c>
      <c r="I116" s="123">
        <v>2870</v>
      </c>
      <c r="J116" s="123">
        <v>3040</v>
      </c>
      <c r="K116" s="123">
        <v>1537.45</v>
      </c>
      <c r="L116" s="123">
        <f>+Tabla1[[#This Row],[ISR
(Ley 11-92)
(1*)]]+Tabla1[[#This Row],[Seguro 
de Pensión 
(2.87%)  
(2*)]]+Tabla1[[#This Row],[Seguro 
de Salud 
(3.04%)
 (3*)]]+Tabla1[[#This Row],[Otros
 Descuentos]]</f>
        <v>19174.710000000003</v>
      </c>
      <c r="M116" s="123">
        <f>+Tabla1[[#This Row],[Sueldo Bruto
(RD$)]]-Tabla1[[#This Row],[Total de 
Descuentos]]</f>
        <v>80825.289999999994</v>
      </c>
      <c r="N116" s="119" t="s">
        <v>18</v>
      </c>
      <c r="O116" s="124" t="s">
        <v>19</v>
      </c>
    </row>
    <row r="117" spans="1:15" s="121" customFormat="1" ht="35.1" customHeight="1">
      <c r="A117" s="158" t="s">
        <v>284</v>
      </c>
      <c r="B117" s="122" t="s">
        <v>260</v>
      </c>
      <c r="C117" s="122" t="s">
        <v>255</v>
      </c>
      <c r="D117" s="122" t="s">
        <v>38</v>
      </c>
      <c r="E117" s="44">
        <v>44852</v>
      </c>
      <c r="F117" s="44">
        <v>45034</v>
      </c>
      <c r="G117" s="123">
        <v>65000</v>
      </c>
      <c r="H117" s="123">
        <v>4125.09</v>
      </c>
      <c r="I117" s="123">
        <v>1865.5</v>
      </c>
      <c r="J117" s="123">
        <v>1976</v>
      </c>
      <c r="K117" s="122">
        <v>1637.45</v>
      </c>
      <c r="L117" s="123">
        <f>+Tabla1[[#This Row],[ISR
(Ley 11-92)
(1*)]]+Tabla1[[#This Row],[Seguro 
de Pensión 
(2.87%)  
(2*)]]+Tabla1[[#This Row],[Seguro 
de Salud 
(3.04%)
 (3*)]]+Tabla1[[#This Row],[Otros
 Descuentos]]</f>
        <v>9604.0400000000009</v>
      </c>
      <c r="M117" s="123">
        <f>+Tabla1[[#This Row],[Sueldo Bruto
(RD$)]]-Tabla1[[#This Row],[Total de 
Descuentos]]</f>
        <v>55395.96</v>
      </c>
      <c r="N117" s="119" t="s">
        <v>18</v>
      </c>
      <c r="O117" s="124" t="s">
        <v>19</v>
      </c>
    </row>
    <row r="118" spans="1:15" s="121" customFormat="1" ht="35.1" customHeight="1">
      <c r="A118" s="158" t="s">
        <v>286</v>
      </c>
      <c r="B118" s="122" t="s">
        <v>593</v>
      </c>
      <c r="C118" s="122" t="s">
        <v>255</v>
      </c>
      <c r="D118" s="122" t="s">
        <v>461</v>
      </c>
      <c r="E118" s="44">
        <v>44774</v>
      </c>
      <c r="F118" s="44">
        <v>44958</v>
      </c>
      <c r="G118" s="123">
        <v>65000</v>
      </c>
      <c r="H118" s="123">
        <v>4427.58</v>
      </c>
      <c r="I118" s="123">
        <v>1865.5</v>
      </c>
      <c r="J118" s="123">
        <v>1976</v>
      </c>
      <c r="K118" s="122">
        <v>25</v>
      </c>
      <c r="L118" s="123">
        <v>8294.08</v>
      </c>
      <c r="M118" s="123">
        <v>56705.919999999998</v>
      </c>
      <c r="N118" s="119" t="s">
        <v>18</v>
      </c>
      <c r="O118" s="124" t="s">
        <v>19</v>
      </c>
    </row>
    <row r="119" spans="1:15" s="121" customFormat="1" ht="35.1" customHeight="1">
      <c r="A119" s="158" t="s">
        <v>289</v>
      </c>
      <c r="B119" s="122" t="s">
        <v>262</v>
      </c>
      <c r="C119" s="122" t="s">
        <v>255</v>
      </c>
      <c r="D119" s="122" t="s">
        <v>263</v>
      </c>
      <c r="E119" s="44">
        <v>44749</v>
      </c>
      <c r="F119" s="44">
        <v>44933</v>
      </c>
      <c r="G119" s="123">
        <v>35000</v>
      </c>
      <c r="H119" s="122">
        <v>0</v>
      </c>
      <c r="I119" s="123">
        <v>1004.5</v>
      </c>
      <c r="J119" s="123">
        <v>1064</v>
      </c>
      <c r="K119" s="122">
        <v>25</v>
      </c>
      <c r="L119" s="123">
        <v>2093.5</v>
      </c>
      <c r="M119" s="123">
        <v>32906.5</v>
      </c>
      <c r="N119" s="119" t="s">
        <v>18</v>
      </c>
      <c r="O119" s="124" t="s">
        <v>19</v>
      </c>
    </row>
    <row r="120" spans="1:15" s="121" customFormat="1" ht="35.1" customHeight="1">
      <c r="A120" s="158" t="s">
        <v>292</v>
      </c>
      <c r="B120" s="122" t="s">
        <v>267</v>
      </c>
      <c r="C120" s="122" t="s">
        <v>255</v>
      </c>
      <c r="D120" s="122" t="s">
        <v>263</v>
      </c>
      <c r="E120" s="44">
        <v>44747</v>
      </c>
      <c r="F120" s="44">
        <v>44931</v>
      </c>
      <c r="G120" s="123">
        <v>35000</v>
      </c>
      <c r="H120" s="122">
        <v>0</v>
      </c>
      <c r="I120" s="123">
        <v>1004.5</v>
      </c>
      <c r="J120" s="123">
        <v>1064</v>
      </c>
      <c r="K120" s="123">
        <v>7497.14</v>
      </c>
      <c r="L120" s="123">
        <v>9565.64</v>
      </c>
      <c r="M120" s="123">
        <v>25434.36</v>
      </c>
      <c r="N120" s="119" t="s">
        <v>18</v>
      </c>
      <c r="O120" s="124" t="s">
        <v>35</v>
      </c>
    </row>
    <row r="121" spans="1:15" s="121" customFormat="1" ht="35.1" customHeight="1">
      <c r="A121" s="158" t="s">
        <v>294</v>
      </c>
      <c r="B121" s="122" t="s">
        <v>270</v>
      </c>
      <c r="C121" s="122" t="s">
        <v>255</v>
      </c>
      <c r="D121" s="122" t="s">
        <v>263</v>
      </c>
      <c r="E121" s="44">
        <v>44747</v>
      </c>
      <c r="F121" s="44">
        <v>44931</v>
      </c>
      <c r="G121" s="123">
        <v>35000</v>
      </c>
      <c r="H121" s="122">
        <v>0</v>
      </c>
      <c r="I121" s="123">
        <v>1004.5</v>
      </c>
      <c r="J121" s="123">
        <v>1064</v>
      </c>
      <c r="K121" s="123">
        <v>2125</v>
      </c>
      <c r="L121" s="123">
        <v>4193.5</v>
      </c>
      <c r="M121" s="123">
        <v>30806.5</v>
      </c>
      <c r="N121" s="119" t="s">
        <v>18</v>
      </c>
      <c r="O121" s="124" t="s">
        <v>35</v>
      </c>
    </row>
    <row r="122" spans="1:15" s="121" customFormat="1" ht="35.1" customHeight="1">
      <c r="A122" s="158" t="s">
        <v>296</v>
      </c>
      <c r="B122" s="122" t="s">
        <v>272</v>
      </c>
      <c r="C122" s="122" t="s">
        <v>255</v>
      </c>
      <c r="D122" s="122" t="s">
        <v>263</v>
      </c>
      <c r="E122" s="44">
        <v>44717</v>
      </c>
      <c r="F122" s="44">
        <v>44900</v>
      </c>
      <c r="G122" s="123">
        <v>35000</v>
      </c>
      <c r="H122" s="122">
        <v>0</v>
      </c>
      <c r="I122" s="123">
        <v>1004.5</v>
      </c>
      <c r="J122" s="123">
        <v>1064</v>
      </c>
      <c r="K122" s="122">
        <v>25</v>
      </c>
      <c r="L122" s="123">
        <v>2093.5</v>
      </c>
      <c r="M122" s="123">
        <v>32906.5</v>
      </c>
      <c r="N122" s="119" t="s">
        <v>18</v>
      </c>
      <c r="O122" s="124" t="s">
        <v>19</v>
      </c>
    </row>
    <row r="123" spans="1:15" s="121" customFormat="1" ht="35.1" customHeight="1">
      <c r="A123" s="158" t="s">
        <v>298</v>
      </c>
      <c r="B123" s="122" t="s">
        <v>274</v>
      </c>
      <c r="C123" s="122" t="s">
        <v>255</v>
      </c>
      <c r="D123" s="122" t="s">
        <v>275</v>
      </c>
      <c r="E123" s="44">
        <v>44805</v>
      </c>
      <c r="F123" s="44">
        <v>44986</v>
      </c>
      <c r="G123" s="123">
        <v>35000</v>
      </c>
      <c r="H123" s="122">
        <v>0</v>
      </c>
      <c r="I123" s="123">
        <v>1004.5</v>
      </c>
      <c r="J123" s="123">
        <v>1064</v>
      </c>
      <c r="K123" s="122">
        <v>125</v>
      </c>
      <c r="L123" s="123">
        <v>2193.5</v>
      </c>
      <c r="M123" s="123">
        <v>32806.5</v>
      </c>
      <c r="N123" s="119" t="s">
        <v>18</v>
      </c>
      <c r="O123" s="124" t="s">
        <v>35</v>
      </c>
    </row>
    <row r="124" spans="1:15" s="121" customFormat="1" ht="35.1" customHeight="1">
      <c r="A124" s="158" t="s">
        <v>300</v>
      </c>
      <c r="B124" s="122" t="s">
        <v>277</v>
      </c>
      <c r="C124" s="122" t="s">
        <v>255</v>
      </c>
      <c r="D124" s="122" t="s">
        <v>275</v>
      </c>
      <c r="E124" s="43">
        <v>44805</v>
      </c>
      <c r="F124" s="43">
        <v>44986</v>
      </c>
      <c r="G124" s="123">
        <v>35000</v>
      </c>
      <c r="H124" s="122">
        <v>0</v>
      </c>
      <c r="I124" s="123">
        <v>1004.5</v>
      </c>
      <c r="J124" s="123">
        <v>1064</v>
      </c>
      <c r="K124" s="123">
        <v>2125</v>
      </c>
      <c r="L124" s="123">
        <f>+Tabla1[[#This Row],[ISR
(Ley 11-92)
(1*)]]+Tabla1[[#This Row],[Seguro 
de Pensión 
(2.87%)  
(2*)]]+Tabla1[[#This Row],[Seguro 
de Salud 
(3.04%)
 (3*)]]+Tabla1[[#This Row],[Otros
 Descuentos]]</f>
        <v>4193.5</v>
      </c>
      <c r="M124" s="123">
        <f>+Tabla1[[#This Row],[Sueldo Bruto
(RD$)]]-Tabla1[[#This Row],[Total de 
Descuentos]]</f>
        <v>30806.5</v>
      </c>
      <c r="N124" s="119" t="s">
        <v>18</v>
      </c>
      <c r="O124" s="124" t="s">
        <v>35</v>
      </c>
    </row>
    <row r="125" spans="1:15" s="121" customFormat="1" ht="35.1" customHeight="1">
      <c r="A125" s="158" t="s">
        <v>302</v>
      </c>
      <c r="B125" s="122" t="s">
        <v>279</v>
      </c>
      <c r="C125" s="122" t="s">
        <v>255</v>
      </c>
      <c r="D125" s="122" t="s">
        <v>275</v>
      </c>
      <c r="E125" s="44">
        <v>44745</v>
      </c>
      <c r="F125" s="44">
        <v>44929</v>
      </c>
      <c r="G125" s="123">
        <v>35000</v>
      </c>
      <c r="H125" s="122">
        <v>0</v>
      </c>
      <c r="I125" s="123">
        <v>1004.5</v>
      </c>
      <c r="J125" s="123">
        <v>1064</v>
      </c>
      <c r="K125" s="123">
        <v>1025</v>
      </c>
      <c r="L125" s="123">
        <f>+Tabla1[[#This Row],[ISR
(Ley 11-92)
(1*)]]+Tabla1[[#This Row],[Seguro 
de Pensión 
(2.87%)  
(2*)]]+Tabla1[[#This Row],[Seguro 
de Salud 
(3.04%)
 (3*)]]+Tabla1[[#This Row],[Otros
 Descuentos]]</f>
        <v>3093.5</v>
      </c>
      <c r="M125" s="123">
        <f>+Tabla1[[#This Row],[Sueldo Bruto
(RD$)]]-Tabla1[[#This Row],[Total de 
Descuentos]]</f>
        <v>31906.5</v>
      </c>
      <c r="N125" s="119" t="s">
        <v>18</v>
      </c>
      <c r="O125" s="124" t="s">
        <v>19</v>
      </c>
    </row>
    <row r="126" spans="1:15" s="121" customFormat="1" ht="35.1" customHeight="1">
      <c r="A126" s="158" t="s">
        <v>506</v>
      </c>
      <c r="B126" s="122" t="s">
        <v>281</v>
      </c>
      <c r="C126" s="122" t="s">
        <v>255</v>
      </c>
      <c r="D126" s="122" t="s">
        <v>275</v>
      </c>
      <c r="E126" s="43">
        <v>44852</v>
      </c>
      <c r="F126" s="43">
        <v>45034</v>
      </c>
      <c r="G126" s="123">
        <v>35000</v>
      </c>
      <c r="H126" s="122">
        <v>0</v>
      </c>
      <c r="I126" s="123">
        <v>1004.5</v>
      </c>
      <c r="J126" s="123">
        <v>1064</v>
      </c>
      <c r="K126" s="123">
        <v>5125</v>
      </c>
      <c r="L126" s="123">
        <f>+Tabla1[[#This Row],[ISR
(Ley 11-92)
(1*)]]+Tabla1[[#This Row],[Seguro 
de Pensión 
(2.87%)  
(2*)]]+Tabla1[[#This Row],[Seguro 
de Salud 
(3.04%)
 (3*)]]+Tabla1[[#This Row],[Otros
 Descuentos]]</f>
        <v>7193.5</v>
      </c>
      <c r="M126" s="123">
        <f>+Tabla1[[#This Row],[Sueldo Bruto
(RD$)]]-Tabla1[[#This Row],[Total de 
Descuentos]]</f>
        <v>27806.5</v>
      </c>
      <c r="N126" s="119" t="s">
        <v>18</v>
      </c>
      <c r="O126" s="124" t="s">
        <v>35</v>
      </c>
    </row>
    <row r="127" spans="1:15" s="121" customFormat="1" ht="35.1" customHeight="1">
      <c r="A127" s="158" t="s">
        <v>507</v>
      </c>
      <c r="B127" s="122" t="s">
        <v>283</v>
      </c>
      <c r="C127" s="122" t="s">
        <v>255</v>
      </c>
      <c r="D127" s="122" t="s">
        <v>275</v>
      </c>
      <c r="E127" s="43">
        <v>44866</v>
      </c>
      <c r="F127" s="43">
        <v>45047</v>
      </c>
      <c r="G127" s="123">
        <v>35000</v>
      </c>
      <c r="H127" s="122">
        <v>0</v>
      </c>
      <c r="I127" s="123">
        <v>1004.5</v>
      </c>
      <c r="J127" s="123">
        <v>1064</v>
      </c>
      <c r="K127" s="125">
        <v>3125</v>
      </c>
      <c r="L127" s="123">
        <f>+Tabla1[[#This Row],[Seguro 
de Pensión 
(2.87%)  
(2*)]]+Tabla1[[#This Row],[ISR
(Ley 11-92)
(1*)]]+Tabla1[[#This Row],[Seguro 
de Salud 
(3.04%)
 (3*)]]+Tabla1[[#This Row],[Otros
 Descuentos]]</f>
        <v>5193.5</v>
      </c>
      <c r="M127" s="123">
        <f>+Tabla1[[#This Row],[Sueldo Bruto
(RD$)]]-Tabla1[[#This Row],[Total de 
Descuentos]]</f>
        <v>29806.5</v>
      </c>
      <c r="N127" s="119" t="s">
        <v>18</v>
      </c>
      <c r="O127" s="124" t="s">
        <v>19</v>
      </c>
    </row>
    <row r="128" spans="1:15" s="121" customFormat="1" ht="35.1" customHeight="1">
      <c r="A128" s="158" t="s">
        <v>508</v>
      </c>
      <c r="B128" s="122" t="s">
        <v>285</v>
      </c>
      <c r="C128" s="122" t="s">
        <v>255</v>
      </c>
      <c r="D128" s="122" t="s">
        <v>275</v>
      </c>
      <c r="E128" s="44">
        <v>44881</v>
      </c>
      <c r="F128" s="44">
        <v>45062</v>
      </c>
      <c r="G128" s="123">
        <v>35000</v>
      </c>
      <c r="H128" s="122">
        <v>0</v>
      </c>
      <c r="I128" s="123">
        <v>1004.5</v>
      </c>
      <c r="J128" s="123">
        <v>1064</v>
      </c>
      <c r="K128" s="122">
        <v>25</v>
      </c>
      <c r="L128" s="123">
        <v>2093.5</v>
      </c>
      <c r="M128" s="123">
        <v>32906.5</v>
      </c>
      <c r="N128" s="119" t="s">
        <v>18</v>
      </c>
      <c r="O128" s="124" t="s">
        <v>19</v>
      </c>
    </row>
    <row r="129" spans="1:15" s="121" customFormat="1" ht="35.1" customHeight="1">
      <c r="A129" s="158" t="s">
        <v>509</v>
      </c>
      <c r="B129" s="122" t="s">
        <v>581</v>
      </c>
      <c r="C129" s="122" t="s">
        <v>255</v>
      </c>
      <c r="D129" s="122" t="s">
        <v>275</v>
      </c>
      <c r="E129" s="44">
        <v>44774</v>
      </c>
      <c r="F129" s="44">
        <v>44958</v>
      </c>
      <c r="G129" s="123">
        <v>35000</v>
      </c>
      <c r="H129" s="123">
        <v>0</v>
      </c>
      <c r="I129" s="123">
        <f>+Tabla1[[#This Row],[Sueldo Bruto
(RD$)]]*0.0287</f>
        <v>1004.5</v>
      </c>
      <c r="J129" s="123">
        <f>+Tabla1[[#This Row],[Sueldo Bruto
(RD$)]]*0.0304</f>
        <v>1064</v>
      </c>
      <c r="K129" s="122">
        <v>25</v>
      </c>
      <c r="L129" s="123">
        <f>+Tabla1[[#This Row],[Seguro 
de Pensión 
(2.87%)  
(2*)]]+Tabla1[[#This Row],[Seguro 
de Salud 
(3.04%)
 (3*)]]+Tabla1[[#This Row],[Otros
 Descuentos]]</f>
        <v>2093.5</v>
      </c>
      <c r="M129" s="123">
        <f>+Tabla1[[#This Row],[Sueldo Bruto
(RD$)]]-Tabla1[[#This Row],[Total de 
Descuentos]]</f>
        <v>32906.5</v>
      </c>
      <c r="N129" s="119" t="s">
        <v>18</v>
      </c>
      <c r="O129" s="124" t="s">
        <v>19</v>
      </c>
    </row>
    <row r="130" spans="1:15" s="121" customFormat="1" ht="35.1" customHeight="1">
      <c r="A130" s="158" t="s">
        <v>510</v>
      </c>
      <c r="B130" s="122" t="s">
        <v>287</v>
      </c>
      <c r="C130" s="122" t="s">
        <v>288</v>
      </c>
      <c r="D130" s="122" t="s">
        <v>64</v>
      </c>
      <c r="E130" s="44">
        <v>44805</v>
      </c>
      <c r="F130" s="44">
        <v>44986</v>
      </c>
      <c r="G130" s="123">
        <v>100000</v>
      </c>
      <c r="H130" s="123">
        <v>12105.37</v>
      </c>
      <c r="I130" s="123">
        <v>2870</v>
      </c>
      <c r="J130" s="123">
        <v>3040</v>
      </c>
      <c r="K130" s="123">
        <v>1025</v>
      </c>
      <c r="L130" s="123">
        <v>19040.37</v>
      </c>
      <c r="M130" s="123">
        <v>80959.63</v>
      </c>
      <c r="N130" s="119" t="s">
        <v>18</v>
      </c>
      <c r="O130" s="124" t="s">
        <v>19</v>
      </c>
    </row>
    <row r="131" spans="1:15" s="121" customFormat="1" ht="35.1" customHeight="1">
      <c r="A131" s="158" t="s">
        <v>511</v>
      </c>
      <c r="B131" s="142" t="s">
        <v>604</v>
      </c>
      <c r="C131" s="122" t="s">
        <v>288</v>
      </c>
      <c r="D131" s="142" t="s">
        <v>17</v>
      </c>
      <c r="E131" s="146">
        <v>44805</v>
      </c>
      <c r="F131" s="146">
        <v>44986</v>
      </c>
      <c r="G131" s="144">
        <v>95000</v>
      </c>
      <c r="H131" s="144">
        <v>10929.24</v>
      </c>
      <c r="I131" s="144">
        <v>2726.5</v>
      </c>
      <c r="J131" s="144">
        <v>2888</v>
      </c>
      <c r="K131" s="144">
        <v>25</v>
      </c>
      <c r="L131" s="144">
        <f>+Tabla1[[#This Row],[ISR
(Ley 11-92)
(1*)]]+Tabla1[[#This Row],[Seguro 
de Pensión 
(2.87%)  
(2*)]]+Tabla1[[#This Row],[Seguro 
de Salud 
(3.04%)
 (3*)]]+Tabla1[[#This Row],[Otros
 Descuentos]]</f>
        <v>16568.739999999998</v>
      </c>
      <c r="M131" s="144">
        <f>+Tabla1[[#This Row],[Sueldo Bruto
(RD$)]]-Tabla1[[#This Row],[Total de 
Descuentos]]</f>
        <v>78431.260000000009</v>
      </c>
      <c r="N131" s="119" t="s">
        <v>18</v>
      </c>
      <c r="O131" s="124" t="s">
        <v>35</v>
      </c>
    </row>
    <row r="132" spans="1:15" s="121" customFormat="1" ht="35.1" customHeight="1">
      <c r="A132" s="158" t="s">
        <v>512</v>
      </c>
      <c r="B132" s="122" t="s">
        <v>290</v>
      </c>
      <c r="C132" s="122" t="s">
        <v>288</v>
      </c>
      <c r="D132" s="122" t="s">
        <v>291</v>
      </c>
      <c r="E132" s="43">
        <v>44835</v>
      </c>
      <c r="F132" s="43">
        <v>45017</v>
      </c>
      <c r="G132" s="123">
        <v>42000</v>
      </c>
      <c r="H132" s="122">
        <v>724.92</v>
      </c>
      <c r="I132" s="123">
        <v>1205.4000000000001</v>
      </c>
      <c r="J132" s="123">
        <v>1276.8</v>
      </c>
      <c r="K132" s="123">
        <v>1025</v>
      </c>
      <c r="L132" s="123">
        <v>4232.12</v>
      </c>
      <c r="M132" s="123">
        <v>37767.879999999997</v>
      </c>
      <c r="N132" s="119" t="s">
        <v>18</v>
      </c>
      <c r="O132" s="124" t="s">
        <v>19</v>
      </c>
    </row>
    <row r="133" spans="1:15" s="121" customFormat="1" ht="35.1" customHeight="1">
      <c r="A133" s="158" t="s">
        <v>513</v>
      </c>
      <c r="B133" s="142" t="s">
        <v>618</v>
      </c>
      <c r="C133" s="122" t="s">
        <v>288</v>
      </c>
      <c r="D133" s="122" t="s">
        <v>275</v>
      </c>
      <c r="E133" s="43">
        <v>44835</v>
      </c>
      <c r="F133" s="43">
        <v>45017</v>
      </c>
      <c r="G133" s="144">
        <v>35000</v>
      </c>
      <c r="H133" s="122">
        <v>0</v>
      </c>
      <c r="I133" s="123">
        <v>1004.5</v>
      </c>
      <c r="J133" s="123">
        <v>1064</v>
      </c>
      <c r="K133" s="123">
        <v>125</v>
      </c>
      <c r="L133" s="123">
        <v>2193.5</v>
      </c>
      <c r="M133" s="123">
        <v>32806.5</v>
      </c>
      <c r="N133" s="119" t="s">
        <v>18</v>
      </c>
      <c r="O133" s="124" t="s">
        <v>19</v>
      </c>
    </row>
    <row r="134" spans="1:15" s="121" customFormat="1" ht="35.1" customHeight="1">
      <c r="A134" s="158" t="s">
        <v>514</v>
      </c>
      <c r="B134" s="142" t="s">
        <v>619</v>
      </c>
      <c r="C134" s="122" t="s">
        <v>288</v>
      </c>
      <c r="D134" s="122" t="s">
        <v>275</v>
      </c>
      <c r="E134" s="43">
        <v>44835</v>
      </c>
      <c r="F134" s="43">
        <v>45017</v>
      </c>
      <c r="G134" s="144">
        <v>35000</v>
      </c>
      <c r="H134" s="122">
        <v>0</v>
      </c>
      <c r="I134" s="123">
        <v>1004.5</v>
      </c>
      <c r="J134" s="123">
        <v>1064</v>
      </c>
      <c r="K134" s="123">
        <v>25</v>
      </c>
      <c r="L134" s="123">
        <v>2093.5</v>
      </c>
      <c r="M134" s="123">
        <v>32906.5</v>
      </c>
      <c r="N134" s="119" t="s">
        <v>18</v>
      </c>
      <c r="O134" s="124" t="s">
        <v>35</v>
      </c>
    </row>
    <row r="135" spans="1:15" s="121" customFormat="1" ht="35.1" customHeight="1">
      <c r="A135" s="158" t="s">
        <v>515</v>
      </c>
      <c r="B135" s="142" t="s">
        <v>620</v>
      </c>
      <c r="C135" s="122" t="s">
        <v>288</v>
      </c>
      <c r="D135" s="122" t="s">
        <v>275</v>
      </c>
      <c r="E135" s="43">
        <v>44835</v>
      </c>
      <c r="F135" s="43">
        <v>45017</v>
      </c>
      <c r="G135" s="144">
        <v>35000</v>
      </c>
      <c r="H135" s="122">
        <v>0</v>
      </c>
      <c r="I135" s="123">
        <v>1004.5</v>
      </c>
      <c r="J135" s="123">
        <v>1064</v>
      </c>
      <c r="K135" s="123">
        <v>25</v>
      </c>
      <c r="L135" s="123">
        <v>2093.5</v>
      </c>
      <c r="M135" s="123">
        <v>32906.5</v>
      </c>
      <c r="N135" s="119" t="s">
        <v>18</v>
      </c>
      <c r="O135" s="124" t="s">
        <v>19</v>
      </c>
    </row>
    <row r="136" spans="1:15" s="121" customFormat="1" ht="35.1" customHeight="1">
      <c r="A136" s="158" t="s">
        <v>516</v>
      </c>
      <c r="B136" s="122" t="s">
        <v>295</v>
      </c>
      <c r="C136" s="122" t="s">
        <v>293</v>
      </c>
      <c r="D136" s="122" t="s">
        <v>17</v>
      </c>
      <c r="E136" s="43">
        <v>44713</v>
      </c>
      <c r="F136" s="43">
        <v>44896</v>
      </c>
      <c r="G136" s="123">
        <v>100000</v>
      </c>
      <c r="H136" s="123">
        <v>12105.37</v>
      </c>
      <c r="I136" s="123">
        <v>2870</v>
      </c>
      <c r="J136" s="123">
        <v>3040</v>
      </c>
      <c r="K136" s="122">
        <v>599.84</v>
      </c>
      <c r="L136" s="123">
        <f>+Tabla1[[#This Row],[ISR
(Ley 11-92)
(1*)]]+Tabla1[[#This Row],[Seguro 
de Pensión 
(2.87%)  
(2*)]]+Tabla1[[#This Row],[Seguro 
de Salud 
(3.04%)
 (3*)]]+Tabla1[[#This Row],[Otros
 Descuentos]]</f>
        <v>18615.210000000003</v>
      </c>
      <c r="M136" s="123">
        <f>+Tabla1[[#This Row],[Sueldo Bruto
(RD$)]]-Tabla1[[#This Row],[Total de 
Descuentos]]</f>
        <v>81384.789999999994</v>
      </c>
      <c r="N136" s="119" t="s">
        <v>18</v>
      </c>
      <c r="O136" s="124" t="s">
        <v>19</v>
      </c>
    </row>
    <row r="137" spans="1:15" s="121" customFormat="1" ht="35.1" customHeight="1">
      <c r="A137" s="158" t="s">
        <v>517</v>
      </c>
      <c r="B137" s="122" t="s">
        <v>297</v>
      </c>
      <c r="C137" s="122" t="s">
        <v>293</v>
      </c>
      <c r="D137" s="122" t="s">
        <v>17</v>
      </c>
      <c r="E137" s="44">
        <v>44805</v>
      </c>
      <c r="F137" s="44">
        <v>44986</v>
      </c>
      <c r="G137" s="123">
        <v>100000</v>
      </c>
      <c r="H137" s="123">
        <v>12105.37</v>
      </c>
      <c r="I137" s="123">
        <v>2870</v>
      </c>
      <c r="J137" s="123">
        <v>3040</v>
      </c>
      <c r="K137" s="123">
        <v>5125</v>
      </c>
      <c r="L137" s="123">
        <v>23140.37</v>
      </c>
      <c r="M137" s="123">
        <v>76859.63</v>
      </c>
      <c r="N137" s="119" t="s">
        <v>18</v>
      </c>
      <c r="O137" s="124" t="s">
        <v>35</v>
      </c>
    </row>
    <row r="138" spans="1:15" s="121" customFormat="1" ht="35.1" customHeight="1">
      <c r="A138" s="158" t="s">
        <v>518</v>
      </c>
      <c r="B138" s="122" t="s">
        <v>299</v>
      </c>
      <c r="C138" s="122" t="s">
        <v>293</v>
      </c>
      <c r="D138" s="122" t="s">
        <v>17</v>
      </c>
      <c r="E138" s="44">
        <v>44774</v>
      </c>
      <c r="F138" s="44">
        <v>44958</v>
      </c>
      <c r="G138" s="123">
        <v>100000</v>
      </c>
      <c r="H138" s="123">
        <v>12105.37</v>
      </c>
      <c r="I138" s="123">
        <v>2870</v>
      </c>
      <c r="J138" s="123">
        <v>3040</v>
      </c>
      <c r="K138" s="122">
        <v>725</v>
      </c>
      <c r="L138" s="123">
        <f>+Tabla1[[#This Row],[ISR
(Ley 11-92)
(1*)]]+Tabla1[[#This Row],[Seguro 
de Pensión 
(2.87%)  
(2*)]]+Tabla1[[#This Row],[Seguro 
de Salud 
(3.04%)
 (3*)]]+Tabla1[[#This Row],[Otros
 Descuentos]]</f>
        <v>18740.370000000003</v>
      </c>
      <c r="M138" s="123">
        <f>+Tabla1[[#This Row],[Sueldo Bruto
(RD$)]]-Tabla1[[#This Row],[Total de 
Descuentos]]</f>
        <v>81259.63</v>
      </c>
      <c r="N138" s="119" t="s">
        <v>18</v>
      </c>
      <c r="O138" s="124" t="s">
        <v>35</v>
      </c>
    </row>
    <row r="139" spans="1:15" s="121" customFormat="1" ht="35.1" customHeight="1">
      <c r="A139" s="158" t="s">
        <v>519</v>
      </c>
      <c r="B139" s="122" t="s">
        <v>301</v>
      </c>
      <c r="C139" s="122" t="s">
        <v>293</v>
      </c>
      <c r="D139" s="122" t="s">
        <v>160</v>
      </c>
      <c r="E139" s="44">
        <v>44866</v>
      </c>
      <c r="F139" s="44">
        <v>45047</v>
      </c>
      <c r="G139" s="123">
        <v>85000</v>
      </c>
      <c r="H139" s="123">
        <v>8576.99</v>
      </c>
      <c r="I139" s="123">
        <v>2439.5</v>
      </c>
      <c r="J139" s="123">
        <v>2584</v>
      </c>
      <c r="K139" s="122">
        <v>25</v>
      </c>
      <c r="L139" s="123">
        <v>13625.49</v>
      </c>
      <c r="M139" s="123">
        <v>71374.509999999995</v>
      </c>
      <c r="N139" s="119" t="s">
        <v>18</v>
      </c>
      <c r="O139" s="124" t="s">
        <v>35</v>
      </c>
    </row>
    <row r="140" spans="1:15" s="121" customFormat="1" ht="35.1" customHeight="1">
      <c r="A140" s="158" t="s">
        <v>597</v>
      </c>
      <c r="B140" s="122" t="s">
        <v>244</v>
      </c>
      <c r="C140" s="122" t="s">
        <v>293</v>
      </c>
      <c r="D140" s="122" t="s">
        <v>160</v>
      </c>
      <c r="E140" s="44">
        <v>44774</v>
      </c>
      <c r="F140" s="44">
        <v>44958</v>
      </c>
      <c r="G140" s="123">
        <v>70000</v>
      </c>
      <c r="H140" s="123">
        <v>5368.48</v>
      </c>
      <c r="I140" s="123">
        <v>2009</v>
      </c>
      <c r="J140" s="123">
        <v>2128</v>
      </c>
      <c r="K140" s="122">
        <v>25</v>
      </c>
      <c r="L140" s="123">
        <v>9530.48</v>
      </c>
      <c r="M140" s="123">
        <v>60469.52</v>
      </c>
      <c r="N140" s="119" t="s">
        <v>18</v>
      </c>
      <c r="O140" s="124" t="s">
        <v>19</v>
      </c>
    </row>
    <row r="141" spans="1:15" s="133" customFormat="1" ht="35.1" customHeight="1">
      <c r="A141" s="158" t="s">
        <v>598</v>
      </c>
      <c r="B141" s="128" t="s">
        <v>303</v>
      </c>
      <c r="C141" s="128" t="s">
        <v>293</v>
      </c>
      <c r="D141" s="128" t="s">
        <v>160</v>
      </c>
      <c r="E141" s="44">
        <v>44866</v>
      </c>
      <c r="F141" s="44">
        <v>45047</v>
      </c>
      <c r="G141" s="129">
        <v>65000</v>
      </c>
      <c r="H141" s="130">
        <v>4427.58</v>
      </c>
      <c r="I141" s="129">
        <v>1865.5</v>
      </c>
      <c r="J141" s="129">
        <v>1976</v>
      </c>
      <c r="K141" s="128">
        <v>25</v>
      </c>
      <c r="L141" s="129">
        <f>+Tabla1[[#This Row],[ISR
(Ley 11-92)
(1*)]]+Tabla1[[#This Row],[Seguro 
de Pensión 
(2.87%)  
(2*)]]+Tabla1[[#This Row],[Seguro 
de Salud 
(3.04%)
 (3*)]]+Tabla1[[#This Row],[Otros
 Descuentos]]</f>
        <v>8294.08</v>
      </c>
      <c r="M141" s="129">
        <f>+Tabla1[[#This Row],[Sueldo Bruto
(RD$)]]-Tabla1[[#This Row],[Total de 
Descuentos]]</f>
        <v>56705.919999999998</v>
      </c>
      <c r="N141" s="131" t="s">
        <v>18</v>
      </c>
      <c r="O141" s="132" t="s">
        <v>19</v>
      </c>
    </row>
    <row r="142" spans="1:15" ht="35.1" customHeight="1">
      <c r="A142" s="21"/>
      <c r="B142" s="147" t="s">
        <v>305</v>
      </c>
      <c r="C142" s="22"/>
      <c r="D142" s="22"/>
      <c r="E142" s="22"/>
      <c r="F142" s="23"/>
      <c r="G142" s="148">
        <f>SUBTOTAL(109,Tabla1[Sueldo Bruto
(RD$)])</f>
        <v>9847000</v>
      </c>
      <c r="H142" s="148">
        <f>SUBTOTAL(109,Tabla1[ISR
(Ley 11-92)
(1*)])</f>
        <v>877070.16999999934</v>
      </c>
      <c r="I142" s="148">
        <f>SUBTOTAL(109,Tabla1[Seguro 
de Pensión 
(2.87%)  
(2*)])</f>
        <v>282608.89999999997</v>
      </c>
      <c r="J142" s="148">
        <f>SUBTOTAL(109,Tabla1[Seguro 
de Salud 
(3.04%)
 (3*)])</f>
        <v>299348.79999999993</v>
      </c>
      <c r="K142" s="149">
        <f>SUBTOTAL(109,Tabla1[Otros
 Descuentos])</f>
        <v>239882.32</v>
      </c>
      <c r="L142" s="149">
        <f>SUBTOTAL(109,Tabla1[Total de 
Descuentos])</f>
        <v>1698910.1900000023</v>
      </c>
      <c r="M142" s="149">
        <f>SUBTOTAL(109,Tabla1[Sueldo
Neto
(RD$)])</f>
        <v>8148089.8099999921</v>
      </c>
      <c r="N142" s="150"/>
      <c r="O142" s="151">
        <f>SUBTOTAL(103,Tabla1[sexo])</f>
        <v>134</v>
      </c>
    </row>
    <row r="143" spans="1:15" s="94" customFormat="1" ht="22.5" customHeight="1">
      <c r="A143" s="104"/>
      <c r="B143" s="105"/>
      <c r="C143" s="104"/>
      <c r="D143" s="104"/>
      <c r="E143" s="104"/>
      <c r="F143" s="104"/>
      <c r="G143" s="106"/>
      <c r="H143" s="106"/>
      <c r="I143" s="106"/>
      <c r="J143" s="106"/>
      <c r="K143" s="106"/>
      <c r="L143" s="106"/>
      <c r="M143" s="106"/>
      <c r="N143" s="104"/>
      <c r="O143" s="104"/>
    </row>
    <row r="144" spans="1:15" ht="24.95" customHeight="1">
      <c r="A144" s="7" t="s">
        <v>306</v>
      </c>
      <c r="B144" s="8"/>
      <c r="D144" s="8"/>
    </row>
    <row r="145" spans="1:13" s="107" customFormat="1" ht="24.95" customHeight="1">
      <c r="A145" s="101" t="s">
        <v>307</v>
      </c>
      <c r="B145" s="102"/>
      <c r="D145" s="102"/>
      <c r="K145" s="115"/>
      <c r="L145" s="115"/>
      <c r="M145" s="115"/>
    </row>
    <row r="146" spans="1:13" s="107" customFormat="1" ht="24.95" customHeight="1">
      <c r="A146" s="102" t="s">
        <v>308</v>
      </c>
      <c r="B146" s="102"/>
      <c r="D146" s="102"/>
    </row>
    <row r="147" spans="1:13" s="107" customFormat="1" ht="24.95" customHeight="1">
      <c r="A147" s="102" t="s">
        <v>309</v>
      </c>
      <c r="B147" s="102"/>
      <c r="D147" s="102"/>
    </row>
    <row r="148" spans="1:13" ht="20.100000000000001" customHeight="1">
      <c r="A148" s="10"/>
      <c r="B148" s="10"/>
      <c r="D148" s="10"/>
    </row>
    <row r="149" spans="1:13" ht="20.100000000000001" customHeight="1">
      <c r="A149" s="10"/>
      <c r="B149" s="10"/>
      <c r="D149" s="10"/>
    </row>
    <row r="150" spans="1:13" ht="19.5" customHeight="1">
      <c r="A150" s="11"/>
      <c r="B150" s="12"/>
      <c r="D150" s="12"/>
    </row>
    <row r="151" spans="1:13" ht="20.100000000000001" customHeight="1"/>
    <row r="152" spans="1:13" ht="28.5">
      <c r="A152" s="108" t="s">
        <v>310</v>
      </c>
      <c r="B152" s="109"/>
      <c r="D152" s="15"/>
      <c r="J152" s="103"/>
    </row>
    <row r="153" spans="1:13" ht="28.5">
      <c r="A153" s="110" t="s">
        <v>311</v>
      </c>
      <c r="B153" s="111"/>
      <c r="D153" s="18"/>
    </row>
    <row r="174" spans="5:6">
      <c r="E174" s="154"/>
      <c r="F174" s="154"/>
    </row>
    <row r="175" spans="5:6">
      <c r="E175" s="113"/>
      <c r="F175" s="113"/>
    </row>
    <row r="176" spans="5:6">
      <c r="E176" s="155"/>
      <c r="F176" s="113"/>
    </row>
    <row r="177" spans="5:6">
      <c r="E177" s="113"/>
      <c r="F177" s="156"/>
    </row>
  </sheetData>
  <mergeCells count="2">
    <mergeCell ref="A1:O1"/>
    <mergeCell ref="A2:O2"/>
  </mergeCells>
  <phoneticPr fontId="38" type="noConversion"/>
  <printOptions horizontalCentered="1"/>
  <pageMargins left="0.39370078740157483" right="0.39370078740157483" top="0.74803149606299213" bottom="0.74803149606299213" header="0.31496062992125984" footer="0.31496062992125984"/>
  <pageSetup paperSize="5" scale="32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50" zoomScaleNormal="50" workbookViewId="0">
      <selection activeCell="D40" sqref="D40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28.5">
      <c r="A3" s="159" t="s">
        <v>610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8" spans="1:15" ht="86.25" customHeight="1" thickBot="1">
      <c r="A8" s="55" t="s">
        <v>1</v>
      </c>
      <c r="B8" s="56" t="s">
        <v>2</v>
      </c>
      <c r="C8" s="56" t="s">
        <v>3</v>
      </c>
      <c r="D8" s="56" t="s">
        <v>4</v>
      </c>
      <c r="E8" s="57" t="s">
        <v>575</v>
      </c>
      <c r="F8" s="57" t="s">
        <v>576</v>
      </c>
      <c r="G8" s="57" t="s">
        <v>5</v>
      </c>
      <c r="H8" s="58" t="s">
        <v>6</v>
      </c>
      <c r="I8" s="58" t="s">
        <v>7</v>
      </c>
      <c r="J8" s="58" t="s">
        <v>8</v>
      </c>
      <c r="K8" s="57" t="s">
        <v>9</v>
      </c>
      <c r="L8" s="57" t="s">
        <v>10</v>
      </c>
      <c r="M8" s="57" t="s">
        <v>11</v>
      </c>
      <c r="N8" s="56" t="s">
        <v>12</v>
      </c>
      <c r="O8" s="56" t="s">
        <v>13</v>
      </c>
    </row>
    <row r="9" spans="1:15" ht="30" customHeight="1">
      <c r="A9" s="47"/>
      <c r="B9" s="48"/>
      <c r="C9" s="48"/>
      <c r="D9" s="49"/>
      <c r="E9" s="64"/>
      <c r="F9" s="64"/>
      <c r="G9" s="50"/>
      <c r="H9" s="50"/>
      <c r="I9" s="51"/>
      <c r="J9" s="51"/>
      <c r="K9" s="50"/>
      <c r="L9" s="50"/>
      <c r="M9" s="51"/>
      <c r="N9" s="52"/>
      <c r="O9" s="53"/>
    </row>
    <row r="10" spans="1:15" ht="21">
      <c r="A10" s="59"/>
      <c r="B10" s="60" t="s">
        <v>305</v>
      </c>
      <c r="C10" s="20"/>
      <c r="D10" s="2"/>
      <c r="E10" s="61"/>
      <c r="F10" s="61"/>
      <c r="G10" s="62">
        <f>SUBTOTAL(109,Tabla2[Sueldo Bruto
(RD$)])</f>
        <v>0</v>
      </c>
      <c r="H10" s="62">
        <f>SUBTOTAL(109,Tabla2[ISR
(Ley 11-92)
(1*)])</f>
        <v>0</v>
      </c>
      <c r="I10" s="62">
        <f>SUBTOTAL(109,Tabla2[Seguro 
de Pensión 
(2.87%)  
(2*)])</f>
        <v>0</v>
      </c>
      <c r="J10" s="62">
        <f>SUBTOTAL(109,Tabla2[Seguro 
de Salud 
(3.04%)
 (3*)])</f>
        <v>0</v>
      </c>
      <c r="K10" s="62">
        <f>SUBTOTAL(109,Tabla2[Otros
 Descuentos])</f>
        <v>0</v>
      </c>
      <c r="L10" s="62">
        <f>SUBTOTAL(109,Tabla2[Total de 
Descuentos])</f>
        <v>0</v>
      </c>
      <c r="M10" s="62">
        <f>SUBTOTAL(109,Tabla2[Sueldo
Neto
(RD$)])</f>
        <v>0</v>
      </c>
      <c r="N10" s="63"/>
      <c r="O10" s="6"/>
    </row>
    <row r="12" spans="1:15" ht="15.75">
      <c r="A12" s="100" t="s">
        <v>306</v>
      </c>
      <c r="B12" s="8"/>
      <c r="C12" s="8"/>
    </row>
    <row r="13" spans="1:15">
      <c r="A13" s="101" t="s">
        <v>307</v>
      </c>
      <c r="B13" s="9"/>
      <c r="C13" s="9"/>
    </row>
    <row r="14" spans="1:15">
      <c r="A14" s="102" t="s">
        <v>308</v>
      </c>
      <c r="B14" s="9"/>
      <c r="C14" s="9"/>
    </row>
    <row r="15" spans="1:15">
      <c r="A15" s="102" t="s">
        <v>309</v>
      </c>
      <c r="B15" s="9"/>
      <c r="C15" s="9"/>
    </row>
    <row r="16" spans="1:15" ht="18.75">
      <c r="A16" s="10"/>
      <c r="B16" s="10"/>
      <c r="C16" s="10"/>
    </row>
    <row r="17" spans="1:15" ht="17.25" thickBot="1">
      <c r="A17" s="97"/>
      <c r="B17" s="97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7"/>
      <c r="O17" s="97"/>
    </row>
    <row r="18" spans="1:15" ht="35.25" customHeight="1" thickTop="1">
      <c r="A18" s="160" t="s">
        <v>580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</row>
    <row r="19" spans="1:15" ht="25.5"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12"/>
    </row>
    <row r="20" spans="1:15" ht="25.5"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13"/>
    </row>
    <row r="21" spans="1:15" ht="26.25">
      <c r="A21" s="13" t="s">
        <v>310</v>
      </c>
      <c r="B21" s="14"/>
      <c r="C21" s="15"/>
    </row>
    <row r="22" spans="1:15" ht="26.25">
      <c r="A22" s="16" t="s">
        <v>311</v>
      </c>
      <c r="B22" s="17"/>
      <c r="C22" s="18"/>
    </row>
  </sheetData>
  <mergeCells count="3">
    <mergeCell ref="A2:O2"/>
    <mergeCell ref="A3:O3"/>
    <mergeCell ref="A18:O18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40" zoomScaleNormal="40" workbookViewId="0">
      <selection activeCell="F49" sqref="F49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28.5">
      <c r="A2" s="159" t="s">
        <v>609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8" spans="1:14" ht="84.75" thickBot="1">
      <c r="A8" s="65" t="s">
        <v>1</v>
      </c>
      <c r="B8" s="66" t="s">
        <v>2</v>
      </c>
      <c r="C8" s="66" t="s">
        <v>3</v>
      </c>
      <c r="D8" s="66" t="s">
        <v>4</v>
      </c>
      <c r="E8" s="67" t="s">
        <v>577</v>
      </c>
      <c r="F8" s="67" t="s">
        <v>5</v>
      </c>
      <c r="G8" s="68" t="s">
        <v>6</v>
      </c>
      <c r="H8" s="68" t="s">
        <v>7</v>
      </c>
      <c r="I8" s="68" t="s">
        <v>8</v>
      </c>
      <c r="J8" s="67" t="s">
        <v>9</v>
      </c>
      <c r="K8" s="67" t="s">
        <v>10</v>
      </c>
      <c r="L8" s="67" t="s">
        <v>11</v>
      </c>
      <c r="M8" s="67" t="s">
        <v>527</v>
      </c>
      <c r="N8" s="66" t="s">
        <v>13</v>
      </c>
    </row>
    <row r="9" spans="1:14" ht="30" customHeight="1">
      <c r="A9" s="46" t="s">
        <v>14</v>
      </c>
      <c r="B9" s="69" t="s">
        <v>524</v>
      </c>
      <c r="C9" s="69" t="s">
        <v>255</v>
      </c>
      <c r="D9" s="70" t="s">
        <v>525</v>
      </c>
      <c r="E9" s="71">
        <v>35326</v>
      </c>
      <c r="F9" s="72">
        <v>135000</v>
      </c>
      <c r="G9" s="72">
        <v>20000.71</v>
      </c>
      <c r="H9" s="73">
        <f>+F9*0.0287</f>
        <v>3874.5</v>
      </c>
      <c r="I9" s="73">
        <f>+F9*0.0304</f>
        <v>4104</v>
      </c>
      <c r="J9" s="72">
        <v>3044.16</v>
      </c>
      <c r="K9" s="72">
        <f>SUM(G9:J9)</f>
        <v>31023.37</v>
      </c>
      <c r="L9" s="73">
        <f>+F9-K9</f>
        <v>103976.63</v>
      </c>
      <c r="M9" s="74" t="s">
        <v>304</v>
      </c>
      <c r="N9" s="75" t="s">
        <v>19</v>
      </c>
    </row>
    <row r="10" spans="1:14" ht="21">
      <c r="A10" s="1"/>
      <c r="B10" s="19" t="s">
        <v>305</v>
      </c>
      <c r="C10" s="20"/>
      <c r="D10" s="2"/>
      <c r="E10" s="3"/>
      <c r="F10" s="4">
        <f>SUBTOTAL(109,Tabla256[Sueldo Bruto
(RD$)])</f>
        <v>135000</v>
      </c>
      <c r="G10" s="4">
        <f>SUBTOTAL(109,Tabla256[ISR
(Ley 11-92)
(1*)])</f>
        <v>20000.71</v>
      </c>
      <c r="H10" s="4">
        <f>SUBTOTAL(109,Tabla256[Seguro 
de Pensión 
(2.87%)  
(2*)])</f>
        <v>3874.5</v>
      </c>
      <c r="I10" s="4">
        <f>SUBTOTAL(109,Tabla256[Seguro 
de Salud 
(3.04%)
 (3*)])</f>
        <v>4104</v>
      </c>
      <c r="J10" s="4">
        <f>SUBTOTAL(109,Tabla256[Otros
 Descuentos])</f>
        <v>3044.16</v>
      </c>
      <c r="K10" s="4">
        <f>SUBTOTAL(109,Tabla256[Total de 
Descuentos])</f>
        <v>31023.37</v>
      </c>
      <c r="L10" s="4">
        <f>SUBTOTAL(109,Tabla256[Sueldo
Neto
(RD$)])</f>
        <v>103976.63</v>
      </c>
      <c r="M10" s="5"/>
      <c r="N10" s="6"/>
    </row>
    <row r="12" spans="1:14">
      <c r="C12" s="8"/>
    </row>
    <row r="13" spans="1:14">
      <c r="A13" s="7" t="s">
        <v>306</v>
      </c>
      <c r="B13" s="8"/>
      <c r="C13" s="9"/>
    </row>
    <row r="14" spans="1:14">
      <c r="A14" s="8" t="s">
        <v>307</v>
      </c>
      <c r="B14" s="9"/>
      <c r="C14" s="9"/>
    </row>
    <row r="15" spans="1:14">
      <c r="A15" s="9" t="s">
        <v>308</v>
      </c>
      <c r="B15" s="9"/>
      <c r="C15" s="9"/>
    </row>
    <row r="16" spans="1:14" ht="18.75">
      <c r="A16" s="9" t="s">
        <v>309</v>
      </c>
      <c r="B16" s="9"/>
      <c r="C16" s="10"/>
    </row>
    <row r="17" spans="1:3" ht="18.75">
      <c r="A17" s="10"/>
      <c r="B17" s="10"/>
      <c r="C17" s="12"/>
    </row>
    <row r="18" spans="1:3" ht="16.5">
      <c r="A18" s="11"/>
      <c r="B18" s="12"/>
    </row>
    <row r="19" spans="1:3" ht="23.25">
      <c r="C19" s="15"/>
    </row>
    <row r="20" spans="1:3" ht="26.25">
      <c r="A20" s="13" t="s">
        <v>310</v>
      </c>
      <c r="B20" s="14"/>
      <c r="C20" s="18"/>
    </row>
    <row r="21" spans="1:3" ht="26.25">
      <c r="A21" s="16" t="s">
        <v>311</v>
      </c>
      <c r="B21" s="17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60" zoomScaleNormal="60" workbookViewId="0">
      <selection activeCell="A16" sqref="A16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 ht="28.5">
      <c r="A2" s="159" t="s">
        <v>611</v>
      </c>
      <c r="B2" s="159"/>
      <c r="C2" s="159"/>
      <c r="D2" s="159"/>
      <c r="E2" s="159"/>
      <c r="F2" s="159"/>
      <c r="G2" s="159"/>
      <c r="H2" s="159"/>
    </row>
    <row r="8" spans="1:8" ht="63">
      <c r="A8" s="81" t="s">
        <v>2</v>
      </c>
      <c r="B8" s="81" t="s">
        <v>552</v>
      </c>
      <c r="C8" s="81" t="s">
        <v>3</v>
      </c>
      <c r="D8" s="81" t="s">
        <v>4</v>
      </c>
      <c r="E8" s="82" t="s">
        <v>5</v>
      </c>
      <c r="F8" s="83" t="s">
        <v>6</v>
      </c>
      <c r="G8" s="82" t="s">
        <v>11</v>
      </c>
      <c r="H8" s="81" t="s">
        <v>13</v>
      </c>
    </row>
    <row r="9" spans="1:8" ht="30" customHeight="1">
      <c r="A9" s="84" t="s">
        <v>528</v>
      </c>
      <c r="B9" s="84" t="s">
        <v>553</v>
      </c>
      <c r="C9" s="84" t="s">
        <v>546</v>
      </c>
      <c r="D9" s="84" t="s">
        <v>547</v>
      </c>
      <c r="E9" s="85">
        <v>60000</v>
      </c>
      <c r="F9" s="89">
        <v>4195.88</v>
      </c>
      <c r="G9" s="85">
        <f>+Tabla25[[#This Row],[Sueldo Bruto
(RD$)]]-Tabla25[[#This Row],[ISR
(Ley 11-92)
(1*)]]</f>
        <v>55804.12</v>
      </c>
      <c r="H9" s="84" t="s">
        <v>19</v>
      </c>
    </row>
    <row r="10" spans="1:8" ht="30" customHeight="1">
      <c r="A10" s="84" t="s">
        <v>529</v>
      </c>
      <c r="B10" s="84" t="s">
        <v>556</v>
      </c>
      <c r="C10" s="84" t="s">
        <v>546</v>
      </c>
      <c r="D10" s="84" t="s">
        <v>548</v>
      </c>
      <c r="E10" s="85">
        <v>14000</v>
      </c>
      <c r="F10" s="88"/>
      <c r="G10" s="85">
        <f>+Tabla25[[#This Row],[Sueldo Bruto
(RD$)]]-Tabla25[[#This Row],[ISR
(Ley 11-92)
(1*)]]</f>
        <v>14000</v>
      </c>
      <c r="H10" s="84" t="s">
        <v>35</v>
      </c>
    </row>
    <row r="11" spans="1:8" ht="30" customHeight="1">
      <c r="A11" s="84" t="s">
        <v>530</v>
      </c>
      <c r="B11" s="84" t="s">
        <v>555</v>
      </c>
      <c r="C11" s="84" t="s">
        <v>546</v>
      </c>
      <c r="D11" s="84" t="s">
        <v>548</v>
      </c>
      <c r="E11" s="85">
        <v>12500</v>
      </c>
      <c r="F11" s="88"/>
      <c r="G11" s="85">
        <f>+Tabla25[[#This Row],[Sueldo Bruto
(RD$)]]-Tabla25[[#This Row],[ISR
(Ley 11-92)
(1*)]]</f>
        <v>12500</v>
      </c>
      <c r="H11" s="84" t="s">
        <v>35</v>
      </c>
    </row>
    <row r="12" spans="1:8" ht="30" customHeight="1">
      <c r="A12" s="84" t="s">
        <v>531</v>
      </c>
      <c r="B12" s="84" t="s">
        <v>554</v>
      </c>
      <c r="C12" s="84" t="s">
        <v>546</v>
      </c>
      <c r="D12" s="84" t="s">
        <v>548</v>
      </c>
      <c r="E12" s="85">
        <v>12500</v>
      </c>
      <c r="F12" s="88"/>
      <c r="G12" s="85">
        <f>+Tabla25[[#This Row],[Sueldo Bruto
(RD$)]]-Tabla25[[#This Row],[ISR
(Ley 11-92)
(1*)]]</f>
        <v>12500</v>
      </c>
      <c r="H12" s="84" t="s">
        <v>35</v>
      </c>
    </row>
    <row r="13" spans="1:8" ht="30" customHeight="1">
      <c r="A13" s="84" t="s">
        <v>532</v>
      </c>
      <c r="B13" s="84" t="s">
        <v>557</v>
      </c>
      <c r="C13" s="84" t="s">
        <v>546</v>
      </c>
      <c r="D13" s="84" t="s">
        <v>548</v>
      </c>
      <c r="E13" s="85">
        <v>12500</v>
      </c>
      <c r="F13" s="88"/>
      <c r="G13" s="85">
        <f>+Tabla25[[#This Row],[Sueldo Bruto
(RD$)]]-Tabla25[[#This Row],[ISR
(Ley 11-92)
(1*)]]</f>
        <v>12500</v>
      </c>
      <c r="H13" s="84" t="s">
        <v>35</v>
      </c>
    </row>
    <row r="14" spans="1:8" ht="30" customHeight="1">
      <c r="A14" s="84" t="s">
        <v>533</v>
      </c>
      <c r="B14" s="84" t="s">
        <v>557</v>
      </c>
      <c r="C14" s="84" t="s">
        <v>546</v>
      </c>
      <c r="D14" s="84" t="s">
        <v>548</v>
      </c>
      <c r="E14" s="85">
        <v>12500</v>
      </c>
      <c r="F14" s="88"/>
      <c r="G14" s="85">
        <f>+Tabla25[[#This Row],[Sueldo Bruto
(RD$)]]-Tabla25[[#This Row],[ISR
(Ley 11-92)
(1*)]]</f>
        <v>12500</v>
      </c>
      <c r="H14" s="84" t="s">
        <v>35</v>
      </c>
    </row>
    <row r="15" spans="1:8" ht="30" customHeight="1">
      <c r="A15" s="84" t="s">
        <v>534</v>
      </c>
      <c r="B15" s="84" t="s">
        <v>558</v>
      </c>
      <c r="C15" s="84" t="s">
        <v>546</v>
      </c>
      <c r="D15" s="84" t="s">
        <v>549</v>
      </c>
      <c r="E15" s="85">
        <v>30000</v>
      </c>
      <c r="F15" s="88"/>
      <c r="G15" s="85">
        <f>+Tabla25[[#This Row],[Sueldo Bruto
(RD$)]]-Tabla25[[#This Row],[ISR
(Ley 11-92)
(1*)]]</f>
        <v>30000</v>
      </c>
      <c r="H15" s="84" t="s">
        <v>35</v>
      </c>
    </row>
    <row r="16" spans="1:8" ht="30" customHeight="1">
      <c r="A16" s="167" t="s">
        <v>535</v>
      </c>
      <c r="B16" s="84" t="s">
        <v>559</v>
      </c>
      <c r="C16" s="84" t="s">
        <v>546</v>
      </c>
      <c r="D16" s="84" t="s">
        <v>550</v>
      </c>
      <c r="E16" s="85">
        <v>80000</v>
      </c>
      <c r="F16" s="89">
        <v>8582.8700000000008</v>
      </c>
      <c r="G16" s="85">
        <f>+Tabla25[[#This Row],[Sueldo Bruto
(RD$)]]-Tabla25[[#This Row],[ISR
(Ley 11-92)
(1*)]]</f>
        <v>71417.13</v>
      </c>
      <c r="H16" s="84" t="s">
        <v>35</v>
      </c>
    </row>
    <row r="17" spans="1:8" ht="30" customHeight="1">
      <c r="A17" s="84" t="s">
        <v>536</v>
      </c>
      <c r="B17" s="84" t="s">
        <v>560</v>
      </c>
      <c r="C17" s="84" t="s">
        <v>546</v>
      </c>
      <c r="D17" s="84" t="s">
        <v>548</v>
      </c>
      <c r="E17" s="85">
        <v>12500</v>
      </c>
      <c r="F17" s="88"/>
      <c r="G17" s="85">
        <f>+Tabla25[[#This Row],[Sueldo Bruto
(RD$)]]-Tabla25[[#This Row],[ISR
(Ley 11-92)
(1*)]]</f>
        <v>12500</v>
      </c>
      <c r="H17" s="84" t="s">
        <v>35</v>
      </c>
    </row>
    <row r="18" spans="1:8" ht="30" customHeight="1">
      <c r="A18" s="84" t="s">
        <v>537</v>
      </c>
      <c r="B18" s="84" t="s">
        <v>560</v>
      </c>
      <c r="C18" s="84" t="s">
        <v>546</v>
      </c>
      <c r="D18" s="84" t="s">
        <v>548</v>
      </c>
      <c r="E18" s="85">
        <v>12500</v>
      </c>
      <c r="F18" s="88"/>
      <c r="G18" s="85">
        <f>+Tabla25[[#This Row],[Sueldo Bruto
(RD$)]]-Tabla25[[#This Row],[ISR
(Ley 11-92)
(1*)]]</f>
        <v>12500</v>
      </c>
      <c r="H18" s="84" t="s">
        <v>35</v>
      </c>
    </row>
    <row r="19" spans="1:8" ht="30" customHeight="1">
      <c r="A19" s="84" t="s">
        <v>538</v>
      </c>
      <c r="B19" s="84" t="s">
        <v>561</v>
      </c>
      <c r="C19" s="84" t="s">
        <v>546</v>
      </c>
      <c r="D19" s="84" t="s">
        <v>548</v>
      </c>
      <c r="E19" s="85">
        <v>12500</v>
      </c>
      <c r="F19" s="88"/>
      <c r="G19" s="85">
        <f>+Tabla25[[#This Row],[Sueldo Bruto
(RD$)]]-Tabla25[[#This Row],[ISR
(Ley 11-92)
(1*)]]</f>
        <v>12500</v>
      </c>
      <c r="H19" s="84" t="s">
        <v>35</v>
      </c>
    </row>
    <row r="20" spans="1:8" ht="30" customHeight="1">
      <c r="A20" s="84" t="s">
        <v>539</v>
      </c>
      <c r="B20" s="84" t="s">
        <v>555</v>
      </c>
      <c r="C20" s="84" t="s">
        <v>546</v>
      </c>
      <c r="D20" s="84" t="s">
        <v>548</v>
      </c>
      <c r="E20" s="85">
        <v>12500</v>
      </c>
      <c r="F20" s="88"/>
      <c r="G20" s="85">
        <f>+Tabla25[[#This Row],[Sueldo Bruto
(RD$)]]-Tabla25[[#This Row],[ISR
(Ley 11-92)
(1*)]]</f>
        <v>12500</v>
      </c>
      <c r="H20" s="84" t="s">
        <v>35</v>
      </c>
    </row>
    <row r="21" spans="1:8" ht="30" customHeight="1">
      <c r="A21" s="84" t="s">
        <v>540</v>
      </c>
      <c r="B21" s="84" t="s">
        <v>557</v>
      </c>
      <c r="C21" s="84" t="s">
        <v>546</v>
      </c>
      <c r="D21" s="84" t="s">
        <v>548</v>
      </c>
      <c r="E21" s="85">
        <v>12500</v>
      </c>
      <c r="F21" s="88"/>
      <c r="G21" s="85">
        <f>+Tabla25[[#This Row],[Sueldo Bruto
(RD$)]]-Tabla25[[#This Row],[ISR
(Ley 11-92)
(1*)]]</f>
        <v>12500</v>
      </c>
      <c r="H21" s="84" t="s">
        <v>35</v>
      </c>
    </row>
    <row r="22" spans="1:8" ht="30" customHeight="1">
      <c r="A22" s="84" t="s">
        <v>541</v>
      </c>
      <c r="B22" s="84" t="s">
        <v>560</v>
      </c>
      <c r="C22" s="84" t="s">
        <v>546</v>
      </c>
      <c r="D22" s="84" t="s">
        <v>548</v>
      </c>
      <c r="E22" s="85">
        <v>12500</v>
      </c>
      <c r="F22" s="88"/>
      <c r="G22" s="85">
        <f>+Tabla25[[#This Row],[Sueldo Bruto
(RD$)]]-Tabla25[[#This Row],[ISR
(Ley 11-92)
(1*)]]</f>
        <v>12500</v>
      </c>
      <c r="H22" s="84" t="s">
        <v>35</v>
      </c>
    </row>
    <row r="23" spans="1:8" ht="30" customHeight="1">
      <c r="A23" s="84" t="s">
        <v>542</v>
      </c>
      <c r="B23" s="84" t="s">
        <v>562</v>
      </c>
      <c r="C23" s="84" t="s">
        <v>546</v>
      </c>
      <c r="D23" s="84" t="s">
        <v>548</v>
      </c>
      <c r="E23" s="85">
        <v>12500</v>
      </c>
      <c r="F23" s="88"/>
      <c r="G23" s="85">
        <f>+Tabla25[[#This Row],[Sueldo Bruto
(RD$)]]-Tabla25[[#This Row],[ISR
(Ley 11-92)
(1*)]]</f>
        <v>12500</v>
      </c>
      <c r="H23" s="84" t="s">
        <v>35</v>
      </c>
    </row>
    <row r="24" spans="1:8" ht="30" customHeight="1">
      <c r="A24" s="84" t="s">
        <v>543</v>
      </c>
      <c r="B24" s="84" t="s">
        <v>553</v>
      </c>
      <c r="C24" s="84" t="s">
        <v>16</v>
      </c>
      <c r="D24" s="84" t="s">
        <v>551</v>
      </c>
      <c r="E24" s="85">
        <v>50000</v>
      </c>
      <c r="F24" s="89">
        <v>2297.25</v>
      </c>
      <c r="G24" s="85">
        <f>+Tabla25[[#This Row],[Sueldo Bruto
(RD$)]]-Tabla25[[#This Row],[ISR
(Ley 11-92)
(1*)]]</f>
        <v>47702.75</v>
      </c>
      <c r="H24" s="84" t="s">
        <v>35</v>
      </c>
    </row>
    <row r="25" spans="1:8" ht="30" customHeight="1">
      <c r="A25" s="84" t="s">
        <v>544</v>
      </c>
      <c r="B25" s="84" t="s">
        <v>563</v>
      </c>
      <c r="C25" s="84" t="s">
        <v>16</v>
      </c>
      <c r="D25" s="84" t="s">
        <v>348</v>
      </c>
      <c r="E25" s="85">
        <v>35000</v>
      </c>
      <c r="F25" s="89">
        <v>47.25</v>
      </c>
      <c r="G25" s="85">
        <f>+Tabla25[[#This Row],[Sueldo Bruto
(RD$)]]-Tabla25[[#This Row],[ISR
(Ley 11-92)
(1*)]]</f>
        <v>34952.75</v>
      </c>
      <c r="H25" s="84" t="s">
        <v>35</v>
      </c>
    </row>
    <row r="26" spans="1:8" ht="30" customHeight="1">
      <c r="A26" s="84" t="s">
        <v>545</v>
      </c>
      <c r="B26" s="84" t="s">
        <v>564</v>
      </c>
      <c r="C26" s="84" t="s">
        <v>16</v>
      </c>
      <c r="D26" s="87" t="s">
        <v>348</v>
      </c>
      <c r="E26" s="86">
        <v>30000</v>
      </c>
      <c r="F26" s="86"/>
      <c r="G26" s="85">
        <f>+Tabla25[[#This Row],[Sueldo Bruto
(RD$)]]-Tabla25[[#This Row],[ISR
(Ley 11-92)
(1*)]]</f>
        <v>30000</v>
      </c>
      <c r="H26" s="84" t="s">
        <v>35</v>
      </c>
    </row>
    <row r="27" spans="1:8" ht="21">
      <c r="A27" s="76" t="s">
        <v>305</v>
      </c>
      <c r="B27" s="76"/>
      <c r="C27" s="77"/>
      <c r="D27" s="78"/>
      <c r="E27" s="79">
        <f>SUBTOTAL(109,Tabla25[Sueldo Bruto
(RD$)])</f>
        <v>436500</v>
      </c>
      <c r="F27" s="79">
        <f>SUBTOTAL(109,Tabla25[ISR
(Ley 11-92)
(1*)])</f>
        <v>15123.25</v>
      </c>
      <c r="G27" s="79">
        <f>SUBTOTAL(109,Tabla25[Sueldo
Neto
(RD$)])</f>
        <v>421376.75</v>
      </c>
      <c r="H27" s="80"/>
    </row>
    <row r="29" spans="1:8">
      <c r="C29" s="8"/>
    </row>
    <row r="30" spans="1:8">
      <c r="A30" s="7" t="s">
        <v>306</v>
      </c>
      <c r="B30" s="7"/>
      <c r="C30" s="9"/>
    </row>
    <row r="31" spans="1:8">
      <c r="A31" s="8" t="s">
        <v>307</v>
      </c>
      <c r="B31" s="8"/>
      <c r="C31" s="9"/>
    </row>
    <row r="32" spans="1:8" ht="18.75">
      <c r="A32" s="10"/>
      <c r="B32" s="10"/>
      <c r="C32" s="12"/>
    </row>
    <row r="33" spans="1:3" ht="16.5">
      <c r="A33" s="11"/>
      <c r="B33" s="11"/>
    </row>
    <row r="34" spans="1:3" ht="16.5">
      <c r="A34" s="11"/>
      <c r="B34" s="11"/>
    </row>
    <row r="35" spans="1:3" ht="23.25">
      <c r="C35" s="15"/>
    </row>
    <row r="36" spans="1:3" ht="26.25">
      <c r="A36" s="13" t="s">
        <v>310</v>
      </c>
      <c r="B36" s="90"/>
      <c r="C36" s="18"/>
    </row>
    <row r="37" spans="1:3" ht="25.5">
      <c r="A37" s="16" t="s">
        <v>311</v>
      </c>
      <c r="B37" s="16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112022</vt:lpstr>
      <vt:lpstr>EMPLEADOS TEMPORALES 102022</vt:lpstr>
      <vt:lpstr>PERIODO PROBATORIO 112022</vt:lpstr>
      <vt:lpstr>TRAMITE DE PENSION 112022 </vt:lpstr>
      <vt:lpstr>COMPENSACIÓN 112022</vt:lpstr>
      <vt:lpstr>'EMPLEADOS TEMPORALES 102022'!Títulos_a_imprimir</vt:lpstr>
      <vt:lpstr>'PERSONAL FIJO 112022'!Títulos_a_imprimir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2022-11-04T15:32:21Z</cp:lastPrinted>
  <dcterms:created xsi:type="dcterms:W3CDTF">2022-06-30T17:03:37Z</dcterms:created>
  <dcterms:modified xsi:type="dcterms:W3CDTF">2022-12-08T18:26:10Z</dcterms:modified>
</cp:coreProperties>
</file>